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port\Schießen\Steirische Landesliga\Saison 2018-19\Luftgewehr\"/>
    </mc:Choice>
  </mc:AlternateContent>
  <xr:revisionPtr revIDLastSave="0" documentId="13_ncr:1_{FF15A5A8-D971-46AB-B514-D474F1D03E08}" xr6:coauthVersionLast="43" xr6:coauthVersionMax="43" xr10:uidLastSave="{00000000-0000-0000-0000-000000000000}"/>
  <bookViews>
    <workbookView xWindow="-120" yWindow="-120" windowWidth="25440" windowHeight="15390" firstSheet="5" activeTab="9" xr2:uid="{A836C573-245C-401D-BA46-E22FD6D85906}"/>
  </bookViews>
  <sheets>
    <sheet name="Ergebnisliste" sheetId="2" r:id="rId1"/>
    <sheet name="Statistik nach 1.Runde" sheetId="4" r:id="rId2"/>
    <sheet name="Statistik nach 2.Runde" sheetId="5" r:id="rId3"/>
    <sheet name="Statisitk nach 3.Runde" sheetId="1" r:id="rId4"/>
    <sheet name="Statistik nach 4.Runde" sheetId="6" r:id="rId5"/>
    <sheet name="Statistik nach 5.Runde" sheetId="7" r:id="rId6"/>
    <sheet name="Statistik nach 6.Runde" sheetId="8" r:id="rId7"/>
    <sheet name="Statistik nach 7.Runde" sheetId="9" r:id="rId8"/>
    <sheet name="Statistik nach 8.Runde" sheetId="10" r:id="rId9"/>
    <sheet name="Statistik nach 9.Runde" sheetId="11" r:id="rId10"/>
    <sheet name="Vereinsname" sheetId="3" r:id="rId11"/>
  </sheets>
  <definedNames>
    <definedName name="Vereinsnamen" localSheetId="2">Vereinsname_[Vereinsnamen]</definedName>
    <definedName name="Vereinsnamen" localSheetId="5">Vereinsname_[Vereinsnamen]</definedName>
    <definedName name="Vereinsnamen" localSheetId="6">Vereinsname_[Vereinsnamen]</definedName>
    <definedName name="Vereinsnamen" localSheetId="7">Vereinsname_[Vereinsnamen]</definedName>
    <definedName name="Vereinsnamen" localSheetId="8">Vereinsname_[Vereinsnamen]</definedName>
    <definedName name="Vereinsnamen" localSheetId="9">Vereinsname_[Vereinsnamen]</definedName>
    <definedName name="Vereinsnamen">Vereinsname_[Vereinsnamen]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1" l="1"/>
  <c r="M8" i="2"/>
  <c r="M16" i="2"/>
  <c r="M11" i="2"/>
  <c r="G46" i="11"/>
  <c r="G5" i="11"/>
  <c r="E7" i="11"/>
  <c r="E6" i="11"/>
  <c r="E5" i="11"/>
  <c r="E11" i="11"/>
  <c r="E14" i="11"/>
  <c r="E8" i="11"/>
  <c r="E15" i="11"/>
  <c r="E9" i="11"/>
  <c r="E16" i="11"/>
  <c r="E17" i="11"/>
  <c r="E10" i="11"/>
  <c r="E12" i="11"/>
  <c r="E13" i="11"/>
  <c r="E19" i="11"/>
  <c r="E20" i="11"/>
  <c r="E21" i="11"/>
  <c r="E23" i="11"/>
  <c r="E22" i="11"/>
  <c r="E18" i="11"/>
  <c r="E24" i="11"/>
  <c r="E25" i="11"/>
  <c r="E28" i="11"/>
  <c r="E26" i="11"/>
  <c r="E27" i="11"/>
  <c r="E29" i="11"/>
  <c r="E30" i="11"/>
  <c r="E31" i="11"/>
  <c r="E32" i="11"/>
  <c r="E33" i="11"/>
  <c r="E36" i="11"/>
  <c r="E37" i="11"/>
  <c r="E38" i="11"/>
  <c r="E39" i="11"/>
  <c r="E40" i="11"/>
  <c r="E41" i="11"/>
  <c r="E42" i="11"/>
  <c r="E34" i="11"/>
  <c r="E44" i="11"/>
  <c r="E43" i="11"/>
  <c r="E45" i="11"/>
  <c r="E47" i="11"/>
  <c r="E48" i="11"/>
  <c r="E49" i="11"/>
  <c r="E50" i="11"/>
  <c r="E51" i="11"/>
  <c r="E52" i="11"/>
  <c r="E53" i="11"/>
  <c r="E54" i="11"/>
  <c r="E55" i="11"/>
  <c r="E46" i="11"/>
  <c r="E57" i="11"/>
  <c r="E35" i="11"/>
  <c r="E56" i="11"/>
  <c r="G34" i="11"/>
  <c r="G14" i="11"/>
  <c r="G7" i="11"/>
  <c r="G6" i="11"/>
  <c r="G11" i="11"/>
  <c r="G8" i="11"/>
  <c r="G9" i="11"/>
  <c r="G16" i="11"/>
  <c r="G17" i="11"/>
  <c r="G10" i="11"/>
  <c r="G12" i="11"/>
  <c r="G13" i="11"/>
  <c r="G19" i="11"/>
  <c r="G20" i="11"/>
  <c r="G21" i="11"/>
  <c r="G23" i="11"/>
  <c r="G22" i="11"/>
  <c r="G18" i="11"/>
  <c r="G24" i="11"/>
  <c r="G25" i="11"/>
  <c r="G28" i="11"/>
  <c r="G26" i="11"/>
  <c r="G27" i="11"/>
  <c r="G29" i="11"/>
  <c r="G30" i="11"/>
  <c r="G31" i="11"/>
  <c r="G32" i="11"/>
  <c r="G33" i="11"/>
  <c r="G36" i="11"/>
  <c r="G37" i="11"/>
  <c r="G38" i="11"/>
  <c r="G39" i="11"/>
  <c r="G40" i="11"/>
  <c r="G41" i="11"/>
  <c r="G42" i="11"/>
  <c r="G44" i="11"/>
  <c r="G43" i="11"/>
  <c r="G45" i="11"/>
  <c r="G47" i="11"/>
  <c r="G48" i="11"/>
  <c r="G49" i="11"/>
  <c r="G50" i="11"/>
  <c r="G51" i="11"/>
  <c r="G52" i="11"/>
  <c r="G53" i="11"/>
  <c r="G54" i="11"/>
  <c r="G55" i="11"/>
  <c r="G57" i="11"/>
  <c r="G35" i="11"/>
  <c r="G56" i="11"/>
  <c r="S7" i="11"/>
  <c r="S6" i="11"/>
  <c r="S5" i="11"/>
  <c r="S11" i="11"/>
  <c r="S14" i="11"/>
  <c r="S8" i="11"/>
  <c r="S15" i="11"/>
  <c r="S9" i="11"/>
  <c r="S16" i="11"/>
  <c r="S17" i="11"/>
  <c r="S10" i="11"/>
  <c r="S12" i="11"/>
  <c r="S13" i="11"/>
  <c r="S19" i="11"/>
  <c r="S20" i="11"/>
  <c r="S21" i="11"/>
  <c r="S23" i="11"/>
  <c r="S22" i="11"/>
  <c r="S18" i="11"/>
  <c r="S24" i="11"/>
  <c r="S25" i="11"/>
  <c r="S28" i="11"/>
  <c r="S26" i="11"/>
  <c r="S27" i="11"/>
  <c r="S29" i="11"/>
  <c r="S30" i="11"/>
  <c r="S31" i="11"/>
  <c r="S32" i="11"/>
  <c r="S33" i="11"/>
  <c r="S36" i="11"/>
  <c r="S37" i="11"/>
  <c r="S38" i="11"/>
  <c r="S39" i="11"/>
  <c r="S40" i="11"/>
  <c r="S41" i="11"/>
  <c r="S42" i="11"/>
  <c r="S34" i="11"/>
  <c r="S44" i="11"/>
  <c r="S43" i="11"/>
  <c r="S45" i="11"/>
  <c r="S47" i="11"/>
  <c r="S48" i="11"/>
  <c r="S49" i="11"/>
  <c r="S50" i="11"/>
  <c r="S51" i="11"/>
  <c r="S52" i="11"/>
  <c r="S53" i="11"/>
  <c r="S54" i="11"/>
  <c r="S55" i="11"/>
  <c r="S46" i="11"/>
  <c r="S57" i="11"/>
  <c r="S35" i="11"/>
  <c r="S56" i="11"/>
  <c r="Q58" i="11"/>
  <c r="P58" i="11"/>
  <c r="O58" i="11"/>
  <c r="N58" i="11"/>
  <c r="M58" i="11"/>
  <c r="L58" i="11"/>
  <c r="K58" i="11"/>
  <c r="J58" i="11"/>
  <c r="N52" i="2"/>
  <c r="M52" i="2"/>
  <c r="O52" i="2"/>
  <c r="P52" i="2"/>
  <c r="M7" i="2"/>
  <c r="E58" i="11" l="1"/>
  <c r="R5" i="10"/>
  <c r="G5" i="10"/>
  <c r="E5" i="10"/>
  <c r="G5" i="9"/>
  <c r="E5" i="9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R10" i="10"/>
  <c r="R6" i="10"/>
  <c r="R7" i="10"/>
  <c r="R8" i="10"/>
  <c r="R9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51" i="10"/>
  <c r="R52" i="10"/>
  <c r="R54" i="10"/>
  <c r="R55" i="10"/>
  <c r="R56" i="10"/>
  <c r="R49" i="10"/>
  <c r="R50" i="10"/>
  <c r="R53" i="10"/>
  <c r="N57" i="10"/>
  <c r="Q57" i="10"/>
  <c r="P57" i="10"/>
  <c r="G49" i="10"/>
  <c r="M35" i="2"/>
  <c r="N35" i="2"/>
  <c r="O35" i="2"/>
  <c r="P35" i="2"/>
  <c r="M50" i="2"/>
  <c r="N50" i="2"/>
  <c r="O50" i="2"/>
  <c r="P50" i="2"/>
  <c r="M39" i="2"/>
  <c r="N39" i="2"/>
  <c r="O39" i="2"/>
  <c r="P39" i="2"/>
  <c r="J59" i="2"/>
  <c r="D59" i="2"/>
  <c r="E59" i="2"/>
  <c r="F59" i="2"/>
  <c r="G59" i="2"/>
  <c r="H59" i="2"/>
  <c r="I59" i="2"/>
  <c r="K59" i="2"/>
  <c r="L59" i="2"/>
  <c r="C59" i="2"/>
  <c r="G53" i="10"/>
  <c r="G50" i="10"/>
  <c r="M12" i="2"/>
  <c r="G7" i="10" l="1"/>
  <c r="G9" i="10"/>
  <c r="G10" i="10"/>
  <c r="G6" i="10"/>
  <c r="G8" i="10"/>
  <c r="G16" i="10"/>
  <c r="G14" i="10"/>
  <c r="G11" i="10"/>
  <c r="G12" i="10"/>
  <c r="G13" i="10"/>
  <c r="G19" i="10"/>
  <c r="G21" i="10"/>
  <c r="G24" i="10"/>
  <c r="G15" i="10"/>
  <c r="G23" i="10"/>
  <c r="G17" i="10"/>
  <c r="G18" i="10"/>
  <c r="G20" i="10"/>
  <c r="G26" i="10"/>
  <c r="G29" i="10"/>
  <c r="G22" i="10"/>
  <c r="G27" i="10"/>
  <c r="G30" i="10"/>
  <c r="G31" i="10"/>
  <c r="G25" i="10"/>
  <c r="G28" i="10"/>
  <c r="G34" i="10"/>
  <c r="G35" i="10"/>
  <c r="G36" i="10"/>
  <c r="G32" i="10"/>
  <c r="G39" i="10"/>
  <c r="G37" i="10"/>
  <c r="G38" i="10"/>
  <c r="G33" i="10"/>
  <c r="G40" i="10"/>
  <c r="G41" i="10"/>
  <c r="G43" i="10"/>
  <c r="G44" i="10"/>
  <c r="G42" i="10"/>
  <c r="G45" i="10"/>
  <c r="G47" i="10"/>
  <c r="G48" i="10"/>
  <c r="G51" i="10"/>
  <c r="G52" i="10"/>
  <c r="G54" i="10"/>
  <c r="G55" i="10"/>
  <c r="G56" i="10"/>
  <c r="G46" i="10"/>
  <c r="P54" i="9"/>
  <c r="O57" i="10"/>
  <c r="M57" i="10"/>
  <c r="L57" i="10"/>
  <c r="K57" i="10"/>
  <c r="J57" i="10"/>
  <c r="M5" i="2"/>
  <c r="O5" i="2"/>
  <c r="N5" i="2"/>
  <c r="Q5" i="9"/>
  <c r="Q8" i="9"/>
  <c r="Q6" i="9"/>
  <c r="Q11" i="9"/>
  <c r="Q12" i="9"/>
  <c r="Q7" i="9"/>
  <c r="Q9" i="9"/>
  <c r="Q16" i="9"/>
  <c r="Q18" i="9"/>
  <c r="Q10" i="9"/>
  <c r="Q20" i="9"/>
  <c r="Q21" i="9"/>
  <c r="Q22" i="9"/>
  <c r="Q13" i="9"/>
  <c r="Q14" i="9"/>
  <c r="Q15" i="9"/>
  <c r="Q25" i="9"/>
  <c r="Q24" i="9"/>
  <c r="Q17" i="9"/>
  <c r="Q19" i="9"/>
  <c r="Q26" i="9"/>
  <c r="Q28" i="9"/>
  <c r="Q29" i="9"/>
  <c r="Q23" i="9"/>
  <c r="Q30" i="9"/>
  <c r="Q27" i="9"/>
  <c r="Q31" i="9"/>
  <c r="Q32" i="9"/>
  <c r="Q33" i="9"/>
  <c r="Q35" i="9"/>
  <c r="Q36" i="9"/>
  <c r="Q37" i="9"/>
  <c r="Q40" i="9"/>
  <c r="Q38" i="9"/>
  <c r="Q39" i="9"/>
  <c r="Q41" i="9"/>
  <c r="Q42" i="9"/>
  <c r="Q45" i="9"/>
  <c r="Q46" i="9"/>
  <c r="Q47" i="9"/>
  <c r="Q44" i="9"/>
  <c r="Q48" i="9"/>
  <c r="Q43" i="9"/>
  <c r="Q50" i="9"/>
  <c r="Q34" i="9"/>
  <c r="Q53" i="9"/>
  <c r="Q51" i="9"/>
  <c r="Q49" i="9"/>
  <c r="Q52" i="9"/>
  <c r="E8" i="9"/>
  <c r="E5" i="7"/>
  <c r="E5" i="8"/>
  <c r="E21" i="9"/>
  <c r="E34" i="9"/>
  <c r="E6" i="9"/>
  <c r="E11" i="9"/>
  <c r="E12" i="9"/>
  <c r="E7" i="9"/>
  <c r="E9" i="9"/>
  <c r="E16" i="9"/>
  <c r="E18" i="9"/>
  <c r="E10" i="9"/>
  <c r="E20" i="9"/>
  <c r="E22" i="9"/>
  <c r="E13" i="9"/>
  <c r="E14" i="9"/>
  <c r="E15" i="9"/>
  <c r="E25" i="9"/>
  <c r="E24" i="9"/>
  <c r="E17" i="9"/>
  <c r="E19" i="9"/>
  <c r="E26" i="9"/>
  <c r="E28" i="9"/>
  <c r="E29" i="9"/>
  <c r="E23" i="9"/>
  <c r="E30" i="9"/>
  <c r="E27" i="9"/>
  <c r="E31" i="9"/>
  <c r="E32" i="9"/>
  <c r="E33" i="9"/>
  <c r="E35" i="9"/>
  <c r="E36" i="9"/>
  <c r="E37" i="9"/>
  <c r="E40" i="9"/>
  <c r="E38" i="9"/>
  <c r="E39" i="9"/>
  <c r="E41" i="9"/>
  <c r="E42" i="9"/>
  <c r="E45" i="9"/>
  <c r="E46" i="9"/>
  <c r="E47" i="9"/>
  <c r="E44" i="9"/>
  <c r="E48" i="9"/>
  <c r="E43" i="9"/>
  <c r="E50" i="9"/>
  <c r="E53" i="9"/>
  <c r="E51" i="9"/>
  <c r="E49" i="9"/>
  <c r="E52" i="9"/>
  <c r="G8" i="9"/>
  <c r="G6" i="9"/>
  <c r="G11" i="9"/>
  <c r="G12" i="9"/>
  <c r="G7" i="9"/>
  <c r="G9" i="9"/>
  <c r="G16" i="9"/>
  <c r="G18" i="9"/>
  <c r="G10" i="9"/>
  <c r="G20" i="9"/>
  <c r="G21" i="9"/>
  <c r="G22" i="9"/>
  <c r="G13" i="9"/>
  <c r="G14" i="9"/>
  <c r="G15" i="9"/>
  <c r="G25" i="9"/>
  <c r="G24" i="9"/>
  <c r="G17" i="9"/>
  <c r="G19" i="9"/>
  <c r="G26" i="9"/>
  <c r="G28" i="9"/>
  <c r="G29" i="9"/>
  <c r="G23" i="9"/>
  <c r="G30" i="9"/>
  <c r="G27" i="9"/>
  <c r="G31" i="9"/>
  <c r="G32" i="9"/>
  <c r="G33" i="9"/>
  <c r="G35" i="9"/>
  <c r="G36" i="9"/>
  <c r="G37" i="9"/>
  <c r="G40" i="9"/>
  <c r="G38" i="9"/>
  <c r="G39" i="9"/>
  <c r="G41" i="9"/>
  <c r="G42" i="9"/>
  <c r="G45" i="9"/>
  <c r="G46" i="9"/>
  <c r="G47" i="9"/>
  <c r="G44" i="9"/>
  <c r="G48" i="9"/>
  <c r="G43" i="9"/>
  <c r="G50" i="9"/>
  <c r="G34" i="9"/>
  <c r="G53" i="9"/>
  <c r="G51" i="9"/>
  <c r="G49" i="9"/>
  <c r="G52" i="9"/>
  <c r="M22" i="2"/>
  <c r="M56" i="2"/>
  <c r="N56" i="2"/>
  <c r="O56" i="2"/>
  <c r="P56" i="2"/>
  <c r="M57" i="2"/>
  <c r="N57" i="2"/>
  <c r="O57" i="2"/>
  <c r="P57" i="2"/>
  <c r="P5" i="8"/>
  <c r="O54" i="9"/>
  <c r="N54" i="9"/>
  <c r="M54" i="9"/>
  <c r="L54" i="9"/>
  <c r="K54" i="9"/>
  <c r="J54" i="9"/>
  <c r="M46" i="2"/>
  <c r="N46" i="2"/>
  <c r="O46" i="2"/>
  <c r="P46" i="2"/>
  <c r="N11" i="2"/>
  <c r="O11" i="2"/>
  <c r="E57" i="10" l="1"/>
  <c r="E54" i="9"/>
  <c r="O51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6" i="6"/>
  <c r="P7" i="8"/>
  <c r="P9" i="8"/>
  <c r="P14" i="8"/>
  <c r="P6" i="8"/>
  <c r="P8" i="8"/>
  <c r="P13" i="8"/>
  <c r="P16" i="8"/>
  <c r="P17" i="8"/>
  <c r="P10" i="8"/>
  <c r="P11" i="8"/>
  <c r="P19" i="8"/>
  <c r="P20" i="8"/>
  <c r="P12" i="8"/>
  <c r="P22" i="8"/>
  <c r="P26" i="8"/>
  <c r="P24" i="8"/>
  <c r="P15" i="8"/>
  <c r="P27" i="8"/>
  <c r="P18" i="8"/>
  <c r="P28" i="8"/>
  <c r="P21" i="8"/>
  <c r="P29" i="8"/>
  <c r="P23" i="8"/>
  <c r="P25" i="8"/>
  <c r="P30" i="8"/>
  <c r="P31" i="8"/>
  <c r="P32" i="8"/>
  <c r="P33" i="8"/>
  <c r="P34" i="8"/>
  <c r="P35" i="8"/>
  <c r="P37" i="8"/>
  <c r="P36" i="8"/>
  <c r="P38" i="8"/>
  <c r="P41" i="8"/>
  <c r="P39" i="8"/>
  <c r="P40" i="8"/>
  <c r="P43" i="8"/>
  <c r="P44" i="8"/>
  <c r="P45" i="8"/>
  <c r="P46" i="8"/>
  <c r="P47" i="8"/>
  <c r="P48" i="8"/>
  <c r="P49" i="8"/>
  <c r="P42" i="8"/>
  <c r="P50" i="8"/>
  <c r="M40" i="2" l="1"/>
  <c r="N40" i="2"/>
  <c r="O40" i="2"/>
  <c r="P40" i="2"/>
  <c r="N7" i="2"/>
  <c r="O6" i="2" l="1"/>
  <c r="N51" i="8"/>
  <c r="M51" i="8"/>
  <c r="L51" i="8"/>
  <c r="K51" i="8"/>
  <c r="J51" i="8"/>
  <c r="N50" i="7"/>
  <c r="O6" i="7"/>
  <c r="O5" i="7"/>
  <c r="O7" i="7"/>
  <c r="O12" i="7"/>
  <c r="O13" i="7"/>
  <c r="O11" i="7"/>
  <c r="O8" i="7"/>
  <c r="O9" i="7"/>
  <c r="O17" i="7"/>
  <c r="O10" i="7"/>
  <c r="O19" i="7"/>
  <c r="O20" i="7"/>
  <c r="O23" i="7"/>
  <c r="O24" i="7"/>
  <c r="O14" i="7"/>
  <c r="O15" i="7"/>
  <c r="O27" i="7"/>
  <c r="O16" i="7"/>
  <c r="O18" i="7"/>
  <c r="O25" i="7"/>
  <c r="O26" i="7"/>
  <c r="O29" i="7"/>
  <c r="O21" i="7"/>
  <c r="O30" i="7"/>
  <c r="O31" i="7"/>
  <c r="O22" i="7"/>
  <c r="O32" i="7"/>
  <c r="O33" i="7"/>
  <c r="O34" i="7"/>
  <c r="O36" i="7"/>
  <c r="O35" i="7"/>
  <c r="O28" i="7"/>
  <c r="O37" i="7"/>
  <c r="O39" i="7"/>
  <c r="O38" i="7"/>
  <c r="O40" i="7"/>
  <c r="O43" i="7"/>
  <c r="O44" i="7"/>
  <c r="O41" i="7"/>
  <c r="O46" i="7"/>
  <c r="O47" i="7"/>
  <c r="O49" i="7"/>
  <c r="O42" i="7"/>
  <c r="O48" i="7"/>
  <c r="O45" i="7"/>
  <c r="M50" i="7"/>
  <c r="L50" i="7"/>
  <c r="K50" i="7"/>
  <c r="J50" i="7"/>
  <c r="N54" i="2"/>
  <c r="M54" i="2"/>
  <c r="O54" i="2"/>
  <c r="P54" i="2"/>
  <c r="M6" i="1"/>
  <c r="N27" i="2"/>
  <c r="E51" i="8" l="1"/>
  <c r="E50" i="7"/>
  <c r="N36" i="6"/>
  <c r="N7" i="6"/>
  <c r="H8" i="6"/>
  <c r="E48" i="6" l="1"/>
  <c r="N48" i="6"/>
  <c r="M23" i="2"/>
  <c r="N23" i="2"/>
  <c r="O23" i="2"/>
  <c r="P23" i="2"/>
  <c r="N6" i="6" l="1"/>
  <c r="N11" i="6"/>
  <c r="N16" i="6"/>
  <c r="N17" i="6"/>
  <c r="N14" i="6"/>
  <c r="N15" i="6"/>
  <c r="N18" i="6"/>
  <c r="N9" i="6"/>
  <c r="N8" i="6"/>
  <c r="N10" i="6"/>
  <c r="N13" i="6"/>
  <c r="N23" i="6"/>
  <c r="N21" i="6"/>
  <c r="N12" i="6"/>
  <c r="N22" i="6"/>
  <c r="N19" i="6"/>
  <c r="N26" i="6"/>
  <c r="N29" i="6"/>
  <c r="N30" i="6"/>
  <c r="N27" i="6"/>
  <c r="N32" i="6"/>
  <c r="N20" i="6"/>
  <c r="N34" i="6"/>
  <c r="N35" i="6"/>
  <c r="N24" i="6"/>
  <c r="N25" i="6"/>
  <c r="N39" i="6"/>
  <c r="N37" i="6"/>
  <c r="N38" i="6"/>
  <c r="N41" i="6"/>
  <c r="N43" i="6"/>
  <c r="N28" i="6"/>
  <c r="N42" i="6"/>
  <c r="N40" i="6"/>
  <c r="N31" i="6"/>
  <c r="N44" i="6"/>
  <c r="N49" i="6"/>
  <c r="N33" i="6"/>
  <c r="N45" i="6"/>
  <c r="N46" i="6"/>
  <c r="N47" i="6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6" i="5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6" i="1"/>
  <c r="E46" i="6"/>
  <c r="E11" i="6"/>
  <c r="E16" i="6"/>
  <c r="E17" i="6"/>
  <c r="E14" i="6"/>
  <c r="E7" i="6"/>
  <c r="E15" i="6"/>
  <c r="E18" i="6"/>
  <c r="E9" i="6"/>
  <c r="E8" i="6"/>
  <c r="E10" i="6"/>
  <c r="E13" i="6"/>
  <c r="E23" i="6"/>
  <c r="E21" i="6"/>
  <c r="E12" i="6"/>
  <c r="E22" i="6"/>
  <c r="E19" i="6"/>
  <c r="E26" i="6"/>
  <c r="E29" i="6"/>
  <c r="E30" i="6"/>
  <c r="E27" i="6"/>
  <c r="E32" i="6"/>
  <c r="E20" i="6"/>
  <c r="E34" i="6"/>
  <c r="E35" i="6"/>
  <c r="E24" i="6"/>
  <c r="E36" i="6"/>
  <c r="E25" i="6"/>
  <c r="E39" i="6"/>
  <c r="E37" i="6"/>
  <c r="E38" i="6"/>
  <c r="E41" i="6"/>
  <c r="E43" i="6"/>
  <c r="E28" i="6"/>
  <c r="E42" i="6"/>
  <c r="E40" i="6"/>
  <c r="E31" i="6"/>
  <c r="E44" i="6"/>
  <c r="E49" i="6"/>
  <c r="E33" i="6"/>
  <c r="E45" i="6"/>
  <c r="E47" i="6"/>
  <c r="P6" i="2"/>
  <c r="N13" i="2"/>
  <c r="K50" i="6" l="1"/>
  <c r="L50" i="6"/>
  <c r="M50" i="6"/>
  <c r="J50" i="6"/>
  <c r="M37" i="2"/>
  <c r="N37" i="2"/>
  <c r="O37" i="2"/>
  <c r="P37" i="2"/>
  <c r="M44" i="2"/>
  <c r="N44" i="2"/>
  <c r="O44" i="2"/>
  <c r="P44" i="2"/>
  <c r="M43" i="2" l="1"/>
  <c r="N43" i="2"/>
  <c r="O43" i="2"/>
  <c r="P43" i="2"/>
  <c r="M11" i="1" l="1"/>
  <c r="P8" i="2"/>
  <c r="P13" i="2"/>
  <c r="P32" i="2"/>
  <c r="P12" i="2"/>
  <c r="P7" i="2"/>
  <c r="P11" i="2"/>
  <c r="P14" i="2"/>
  <c r="P17" i="2"/>
  <c r="P15" i="2"/>
  <c r="P16" i="2"/>
  <c r="P22" i="2"/>
  <c r="P19" i="2"/>
  <c r="P20" i="2"/>
  <c r="P9" i="2"/>
  <c r="P21" i="2"/>
  <c r="P10" i="2"/>
  <c r="P38" i="2"/>
  <c r="P34" i="2"/>
  <c r="P28" i="2"/>
  <c r="P41" i="2"/>
  <c r="P31" i="2"/>
  <c r="P30" i="2"/>
  <c r="P24" i="2"/>
  <c r="P18" i="2"/>
  <c r="P26" i="2"/>
  <c r="P48" i="2"/>
  <c r="P33" i="2"/>
  <c r="P36" i="2"/>
  <c r="P29" i="2"/>
  <c r="P27" i="2"/>
  <c r="P42" i="2"/>
  <c r="P45" i="2"/>
  <c r="P47" i="2"/>
  <c r="P51" i="2"/>
  <c r="P53" i="2"/>
  <c r="P49" i="2"/>
  <c r="P25" i="2"/>
  <c r="P55" i="2"/>
  <c r="N8" i="2"/>
  <c r="P5" i="2" l="1"/>
  <c r="F58" i="2"/>
  <c r="G58" i="2"/>
  <c r="H58" i="2"/>
  <c r="I58" i="2"/>
  <c r="J58" i="2"/>
  <c r="K58" i="2"/>
  <c r="L58" i="2"/>
  <c r="D58" i="2"/>
  <c r="E58" i="2"/>
  <c r="C58" i="2"/>
  <c r="E50" i="6"/>
  <c r="E46" i="1"/>
  <c r="P58" i="2" l="1"/>
  <c r="M42" i="1"/>
  <c r="M31" i="1"/>
  <c r="L28" i="5"/>
  <c r="M15" i="1"/>
  <c r="M7" i="1"/>
  <c r="M8" i="1"/>
  <c r="M17" i="1"/>
  <c r="M19" i="1"/>
  <c r="M21" i="1"/>
  <c r="M9" i="1"/>
  <c r="M20" i="1"/>
  <c r="M10" i="1"/>
  <c r="M22" i="1"/>
  <c r="M12" i="1"/>
  <c r="M18" i="1"/>
  <c r="M28" i="1"/>
  <c r="M29" i="1"/>
  <c r="M30" i="1"/>
  <c r="M32" i="1"/>
  <c r="M34" i="1"/>
  <c r="M33" i="1"/>
  <c r="M13" i="1"/>
  <c r="M26" i="1"/>
  <c r="M14" i="1"/>
  <c r="M27" i="1"/>
  <c r="M16" i="1"/>
  <c r="M23" i="1"/>
  <c r="M38" i="1"/>
  <c r="M35" i="1"/>
  <c r="M39" i="1"/>
  <c r="M40" i="1"/>
  <c r="M25" i="1"/>
  <c r="M37" i="1"/>
  <c r="M41" i="1"/>
  <c r="M24" i="1"/>
  <c r="M36" i="1"/>
  <c r="M43" i="1"/>
  <c r="M44" i="1"/>
  <c r="M45" i="1"/>
  <c r="N6" i="2"/>
  <c r="N12" i="2"/>
  <c r="N14" i="2"/>
  <c r="N17" i="2"/>
  <c r="N15" i="2"/>
  <c r="N16" i="2"/>
  <c r="N22" i="2"/>
  <c r="N19" i="2"/>
  <c r="N20" i="2"/>
  <c r="N9" i="2"/>
  <c r="N21" i="2"/>
  <c r="N10" i="2"/>
  <c r="N26" i="2"/>
  <c r="N29" i="2"/>
  <c r="N28" i="2"/>
  <c r="N32" i="2"/>
  <c r="N31" i="2"/>
  <c r="N30" i="2"/>
  <c r="N24" i="2"/>
  <c r="N18" i="2"/>
  <c r="N38" i="2"/>
  <c r="N34" i="2"/>
  <c r="N48" i="2"/>
  <c r="N33" i="2"/>
  <c r="N36" i="2"/>
  <c r="N41" i="2"/>
  <c r="N42" i="2"/>
  <c r="N45" i="2"/>
  <c r="N47" i="2"/>
  <c r="N51" i="2"/>
  <c r="N53" i="2"/>
  <c r="N49" i="2"/>
  <c r="N25" i="2"/>
  <c r="N55" i="2"/>
  <c r="L21" i="5"/>
  <c r="L34" i="5"/>
  <c r="L32" i="5"/>
  <c r="L6" i="5"/>
  <c r="L20" i="5"/>
  <c r="L7" i="5"/>
  <c r="L8" i="5"/>
  <c r="L13" i="5"/>
  <c r="L9" i="5"/>
  <c r="L22" i="5"/>
  <c r="L11" i="5"/>
  <c r="L10" i="5"/>
  <c r="L12" i="5"/>
  <c r="L16" i="5"/>
  <c r="L17" i="5"/>
  <c r="L26" i="5"/>
  <c r="L24" i="5"/>
  <c r="L25" i="5"/>
  <c r="L14" i="5"/>
  <c r="L33" i="5"/>
  <c r="L27" i="5"/>
  <c r="L15" i="5"/>
  <c r="L35" i="5"/>
  <c r="L36" i="5"/>
  <c r="L30" i="5"/>
  <c r="L29" i="5"/>
  <c r="L39" i="5"/>
  <c r="L31" i="5"/>
  <c r="L42" i="5"/>
  <c r="L43" i="5"/>
  <c r="L44" i="5"/>
  <c r="L18" i="5"/>
  <c r="L40" i="5"/>
  <c r="L41" i="5"/>
  <c r="L38" i="5"/>
  <c r="L19" i="5"/>
  <c r="L37" i="5"/>
  <c r="L23" i="5"/>
  <c r="O13" i="2"/>
  <c r="O8" i="2"/>
  <c r="O12" i="2"/>
  <c r="O7" i="2"/>
  <c r="O14" i="2"/>
  <c r="O17" i="2"/>
  <c r="O15" i="2"/>
  <c r="O16" i="2"/>
  <c r="O22" i="2"/>
  <c r="O19" i="2"/>
  <c r="O20" i="2"/>
  <c r="O9" i="2"/>
  <c r="O21" i="2"/>
  <c r="O10" i="2"/>
  <c r="O26" i="2"/>
  <c r="O29" i="2"/>
  <c r="O28" i="2"/>
  <c r="O32" i="2"/>
  <c r="O31" i="2"/>
  <c r="O30" i="2"/>
  <c r="O24" i="2"/>
  <c r="O18" i="2"/>
  <c r="O38" i="2"/>
  <c r="O34" i="2"/>
  <c r="O48" i="2"/>
  <c r="O33" i="2"/>
  <c r="O36" i="2"/>
  <c r="O41" i="2"/>
  <c r="O27" i="2"/>
  <c r="O42" i="2"/>
  <c r="O45" i="2"/>
  <c r="O47" i="2"/>
  <c r="O51" i="2"/>
  <c r="O53" i="2"/>
  <c r="O49" i="2"/>
  <c r="O25" i="2"/>
  <c r="O55" i="2"/>
  <c r="M13" i="2"/>
  <c r="M6" i="2"/>
  <c r="M14" i="2"/>
  <c r="M17" i="2"/>
  <c r="M15" i="2"/>
  <c r="M19" i="2"/>
  <c r="M20" i="2"/>
  <c r="M9" i="2"/>
  <c r="M21" i="2"/>
  <c r="M10" i="2"/>
  <c r="M26" i="2"/>
  <c r="M29" i="2"/>
  <c r="M28" i="2"/>
  <c r="M32" i="2"/>
  <c r="M31" i="2"/>
  <c r="M30" i="2"/>
  <c r="M24" i="2"/>
  <c r="M18" i="2"/>
  <c r="M38" i="2"/>
  <c r="M34" i="2"/>
  <c r="M48" i="2"/>
  <c r="M33" i="2"/>
  <c r="M36" i="2"/>
  <c r="M41" i="2"/>
  <c r="M27" i="2"/>
  <c r="M42" i="2"/>
  <c r="M45" i="2"/>
  <c r="M47" i="2"/>
  <c r="M51" i="2"/>
  <c r="M53" i="2"/>
  <c r="M49" i="2"/>
  <c r="M25" i="2"/>
  <c r="M55" i="2"/>
</calcChain>
</file>

<file path=xl/sharedStrings.xml><?xml version="1.0" encoding="utf-8"?>
<sst xmlns="http://schemas.openxmlformats.org/spreadsheetml/2006/main" count="1855" uniqueCount="155">
  <si>
    <t>LUFTGEWEHR</t>
  </si>
  <si>
    <t>SAISON 2018 / 19</t>
  </si>
  <si>
    <t>Landesliga</t>
  </si>
  <si>
    <t>Aktuell</t>
  </si>
  <si>
    <t>Alt</t>
  </si>
  <si>
    <t>Name</t>
  </si>
  <si>
    <t>Verein</t>
  </si>
  <si>
    <t>Siege</t>
  </si>
  <si>
    <t>Starts</t>
  </si>
  <si>
    <t>Schnitt</t>
  </si>
  <si>
    <t>1. Rd</t>
  </si>
  <si>
    <t>2. Rd</t>
  </si>
  <si>
    <t>3. Rd</t>
  </si>
  <si>
    <t>4. Rd</t>
  </si>
  <si>
    <t>5. Rd</t>
  </si>
  <si>
    <t>6. Rd</t>
  </si>
  <si>
    <t>7. Rd</t>
  </si>
  <si>
    <t>8. Rd</t>
  </si>
  <si>
    <t>9. Rd</t>
  </si>
  <si>
    <t>Vereinsnamen</t>
  </si>
  <si>
    <t>Brucker SV</t>
  </si>
  <si>
    <t>Kapfenberger SV</t>
  </si>
  <si>
    <t>Rohrbacher SSV</t>
  </si>
  <si>
    <t>SG d. Liezener Jäger</t>
  </si>
  <si>
    <t>SV Feistritztal</t>
  </si>
  <si>
    <t>SV Hitzendorf</t>
  </si>
  <si>
    <t>SV Knittelfeld</t>
  </si>
  <si>
    <t>SV Krieglach</t>
  </si>
  <si>
    <t>SV Langenwang</t>
  </si>
  <si>
    <t>SV RB Eggersdorf</t>
  </si>
  <si>
    <t>Matzer Madeleine</t>
  </si>
  <si>
    <t>Krasser Sophia</t>
  </si>
  <si>
    <t>Maierhofer Alexander</t>
  </si>
  <si>
    <t>Pink Daniel</t>
  </si>
  <si>
    <t>Geisler Daniel</t>
  </si>
  <si>
    <t>Geisler Michael</t>
  </si>
  <si>
    <t>Jansenberger Anna</t>
  </si>
  <si>
    <t>Reiter Christine</t>
  </si>
  <si>
    <t>Scheucher Michaela</t>
  </si>
  <si>
    <t>Rohrer Thomas</t>
  </si>
  <si>
    <t>Gschoderer Cäcilia</t>
  </si>
  <si>
    <t>Taucher Heinrich</t>
  </si>
  <si>
    <t>Mazilo Harald</t>
  </si>
  <si>
    <t>Neuburger Martin</t>
  </si>
  <si>
    <t>Pillhofer Philipp</t>
  </si>
  <si>
    <t>Bauernhofer Josef</t>
  </si>
  <si>
    <t>Hofer Gerhard</t>
  </si>
  <si>
    <t>Bosak Gerhard</t>
  </si>
  <si>
    <t>Kaufmann David</t>
  </si>
  <si>
    <t>Herold Lisa</t>
  </si>
  <si>
    <t>Kristandl Martin</t>
  </si>
  <si>
    <t>Ninaus Katrin</t>
  </si>
  <si>
    <t>Durstmüller Viktoria</t>
  </si>
  <si>
    <t>Durstmüller Eduard</t>
  </si>
  <si>
    <t>Fölzer Verona</t>
  </si>
  <si>
    <t>Fölzer Karl-Heinz</t>
  </si>
  <si>
    <t>Haubmann Stefanie</t>
  </si>
  <si>
    <t xml:space="preserve">Karlon Alexander </t>
  </si>
  <si>
    <t>Hausegger Harald</t>
  </si>
  <si>
    <t>Zeiringer Nico</t>
  </si>
  <si>
    <t>Glockengießer Manfred</t>
  </si>
  <si>
    <t>Grün Günther</t>
  </si>
  <si>
    <t>Leitner Erwin</t>
  </si>
  <si>
    <t>Strempfl Martin</t>
  </si>
  <si>
    <t>Gölles Franz</t>
  </si>
  <si>
    <t>Schrittwieser Daniel</t>
  </si>
  <si>
    <t>Pirkmann Julia</t>
  </si>
  <si>
    <t>Kristandl Manfred</t>
  </si>
  <si>
    <t>Hütter Rupert</t>
  </si>
  <si>
    <t>Mötschlmaier Laura</t>
  </si>
  <si>
    <t>Ergebnis</t>
  </si>
  <si>
    <t>Anzahl</t>
  </si>
  <si>
    <t>10. Rd</t>
  </si>
  <si>
    <t>Bestes Ergebnis</t>
  </si>
  <si>
    <t>400,0</t>
  </si>
  <si>
    <t>Dürstmüller Viktoria</t>
  </si>
  <si>
    <t>Karlon Alexander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</si>
  <si>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</si>
  <si>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</si>
  <si>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</si>
  <si>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</si>
  <si>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</si>
  <si>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</si>
  <si>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</si>
  <si>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</si>
  <si>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</si>
  <si>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</si>
  <si>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</si>
  <si>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</si>
  <si>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</si>
  <si>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</si>
  <si>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</si>
  <si>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</si>
  <si>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</si>
  <si>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</si>
  <si>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</si>
  <si>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</si>
  <si>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</si>
  <si>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</si>
  <si>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</si>
  <si>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</si>
  <si>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</si>
  <si>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</si>
  <si>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</si>
  <si>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</si>
  <si>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</si>
  <si>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</si>
  <si>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</si>
  <si>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</si>
  <si>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</si>
  <si>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</si>
  <si>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</si>
  <si>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</si>
  <si>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leer</t>
  </si>
  <si>
    <t>1.Rd</t>
  </si>
  <si>
    <t>2.Rd</t>
  </si>
  <si>
    <t>Schnitt2</t>
  </si>
  <si>
    <t>3.Rd</t>
  </si>
  <si>
    <t>37.</t>
  </si>
  <si>
    <t>38.</t>
  </si>
  <si>
    <t>39.</t>
  </si>
  <si>
    <t>40.</t>
  </si>
  <si>
    <t>4.Rd</t>
  </si>
  <si>
    <t>Grabensberger Siegfried</t>
  </si>
  <si>
    <t>Schwarz Nicole</t>
  </si>
  <si>
    <t>Durstmüller Valentina</t>
  </si>
  <si>
    <t>neu</t>
  </si>
  <si>
    <t>Loibnegger Karin</t>
  </si>
  <si>
    <t>41.</t>
  </si>
  <si>
    <t>42.</t>
  </si>
  <si>
    <t>43.</t>
  </si>
  <si>
    <t>44.</t>
  </si>
  <si>
    <t>Raith Ewald</t>
  </si>
  <si>
    <t>5.Rd</t>
  </si>
  <si>
    <t>45.</t>
  </si>
  <si>
    <t>6.Rd</t>
  </si>
  <si>
    <t>Arbesleitner Katrin</t>
  </si>
  <si>
    <t>46.</t>
  </si>
  <si>
    <t>Bichler Klaus</t>
  </si>
  <si>
    <t>7.Rd</t>
  </si>
  <si>
    <t>Meissl Theresa</t>
  </si>
  <si>
    <t>Lang Nico</t>
  </si>
  <si>
    <t>47.</t>
  </si>
  <si>
    <t>48.</t>
  </si>
  <si>
    <t>49.</t>
  </si>
  <si>
    <t>8.Rd</t>
  </si>
  <si>
    <t>Ozlberger Johanna</t>
  </si>
  <si>
    <t>Eberl August</t>
  </si>
  <si>
    <t>Polding Alfred</t>
  </si>
  <si>
    <t>50.</t>
  </si>
  <si>
    <t>51.</t>
  </si>
  <si>
    <t>52.</t>
  </si>
  <si>
    <t>Hottowy Bernhard</t>
  </si>
  <si>
    <t>9.Rd</t>
  </si>
  <si>
    <t>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</si>
</sst>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/>
    <xf numFmtId="164" fontId="0" fillId="0" borderId="0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Standard" xfId="0" builtinId="0"/>
  </cellStyles>
  <dxfs count="301"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BF8A51-D1E7-4BC7-B8FD-10E3B27ECEBF}" name="Tabelle2" displayName="Tabelle2" ref="A4:P58" totalsRowCount="1" headerRowDxfId="294" dataDxfId="293">
  <autoFilter ref="A4:P57" xr:uid="{B9B135F9-06C8-47AD-8667-C73E9DFD3AC5}"/>
  <sortState ref="A5:P57">
    <sortCondition descending="1" ref="N4:N57"/>
  </sortState>
  <tableColumns count="16">
    <tableColumn id="1" xr3:uid="{49C8CDE7-EDB6-46AC-9C11-A1BC667D781E}" name="Name" totalsRowLabel="Ergebnis" dataDxfId="292" totalsRowDxfId="291"/>
    <tableColumn id="4" xr3:uid="{5BB323F5-5D7D-4B5B-9529-1DE3F19FAC8A}" name="Verein" dataDxfId="290" totalsRowDxfId="289"/>
    <tableColumn id="6" xr3:uid="{FBB477C6-6CD4-4DEE-8C6E-DE596258C997}" name="1. Rd" totalsRowFunction="custom" dataDxfId="288" totalsRowDxfId="287">
      <totalsRowFormula>COUNTIF(Tabelle2[1. Rd],"&gt;399,9")</totalsRowFormula>
    </tableColumn>
    <tableColumn id="7" xr3:uid="{8D5F54A8-D8EB-4034-ADC1-EECD3392B5A2}" name="2. Rd" totalsRowFunction="custom" dataDxfId="286" totalsRowDxfId="285">
      <totalsRowFormula>COUNTIF(Tabelle2[2. Rd],"&gt;399,9")</totalsRowFormula>
    </tableColumn>
    <tableColumn id="8" xr3:uid="{631A6404-1028-464A-B65D-48D5F7993101}" name="3. Rd" totalsRowFunction="custom" dataDxfId="284" totalsRowDxfId="283">
      <totalsRowFormula>COUNTIF(Tabelle2[3. Rd],"&gt;399,9")</totalsRowFormula>
    </tableColumn>
    <tableColumn id="9" xr3:uid="{4D5F8D29-54B1-40DE-BE1B-16E462ACC399}" name="4. Rd" totalsRowFunction="custom" dataDxfId="282" totalsRowDxfId="281">
      <totalsRowFormula>COUNTIF(Tabelle2[4. Rd],"&gt;399,9")</totalsRowFormula>
    </tableColumn>
    <tableColumn id="10" xr3:uid="{2B889AD0-7B16-4AAD-8C9A-75903829ADAA}" name="5. Rd" totalsRowFunction="custom" dataDxfId="280" totalsRowDxfId="279">
      <totalsRowFormula>COUNTIF(Tabelle2[5. Rd],"&gt;399,9")</totalsRowFormula>
    </tableColumn>
    <tableColumn id="11" xr3:uid="{956CBE5D-9842-43E5-8B41-A8D63BEDF239}" name="6. Rd" totalsRowFunction="custom" dataDxfId="278" totalsRowDxfId="277">
      <totalsRowFormula>COUNTIF(Tabelle2[6. Rd],"&gt;399,9")</totalsRowFormula>
    </tableColumn>
    <tableColumn id="12" xr3:uid="{E1636086-AFBD-4238-A425-EDF3A9BE1C8B}" name="7. Rd" totalsRowFunction="custom" dataDxfId="276" totalsRowDxfId="275">
      <totalsRowFormula>COUNTIF(Tabelle2[7. Rd],"&gt;399,9")</totalsRowFormula>
    </tableColumn>
    <tableColumn id="13" xr3:uid="{B354833B-7A20-41B0-9646-1D5302154B8F}" name="8. Rd" totalsRowFunction="custom" dataDxfId="274" totalsRowDxfId="273">
      <totalsRowFormula>COUNTIF(Tabelle2[8. Rd],"&gt;399,9")</totalsRowFormula>
    </tableColumn>
    <tableColumn id="14" xr3:uid="{D2ADD1CC-D66B-456D-9466-00475964895B}" name="9. Rd" totalsRowFunction="custom" dataDxfId="272" totalsRowDxfId="271">
      <totalsRowFormula>COUNTIF(Tabelle2[9. Rd],"&gt;399,9")</totalsRowFormula>
    </tableColumn>
    <tableColumn id="15" xr3:uid="{87985547-819B-4793-BC7E-307FA2B414DE}" name="10. Rd" totalsRowFunction="custom" dataDxfId="270" totalsRowDxfId="269">
      <totalsRowFormula>COUNTIF(Tabelle2[10. Rd],"&gt;399,9")</totalsRowFormula>
    </tableColumn>
    <tableColumn id="16" xr3:uid="{4AE6EE61-78A1-423D-8DBC-330D350AB534}" name="Anzahl" dataDxfId="268" totalsRowDxfId="267">
      <calculatedColumnFormula>COUNT(Tabelle2[[#This Row],[1. Rd]:[10. Rd]])</calculatedColumnFormula>
    </tableColumn>
    <tableColumn id="17" xr3:uid="{36E007AF-2897-45C5-AF57-F652C8BB03BB}" name="Schnitt" dataDxfId="266" totalsRowDxfId="265">
      <calculatedColumnFormula>AVERAGE(Tabelle2[[#This Row],[1. Rd]:[10. Rd]])</calculatedColumnFormula>
    </tableColumn>
    <tableColumn id="18" xr3:uid="{3C7A63F4-3778-4AD3-9EC2-458AC2FE37F9}" name="Bestes Ergebnis" dataDxfId="264" totalsRowDxfId="263">
      <calculatedColumnFormula>MAX(Tabelle2[[#This Row],[1. Rd]:[10. Rd]])</calculatedColumnFormula>
    </tableColumn>
    <tableColumn id="2" xr3:uid="{0AB5FA4F-F5C7-4EEA-BABC-81335CFB5F41}" name="400,0" totalsRowFunction="sum" dataDxfId="262" totalsRowDxfId="261">
      <calculatedColumnFormula>COUNTIF(Tabelle2[[#This Row],[1. Rd]:[10. Rd]],"&gt;399,9")</calculatedColumnFormula>
    </tableColumn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559BF79-C484-46ED-9522-6C9835A9042C}" name="Tabelle8.Runde6891011" displayName="Tabelle8.Runde6891011" ref="A4:S58" insertRowShift="1" totalsRowCount="1" headerRowDxfId="39" dataDxfId="38">
  <autoFilter ref="A4:S57" xr:uid="{AB2EFE05-978B-48E7-B94D-CE250D47793E}"/>
  <sortState ref="A5:S57">
    <sortCondition descending="1" ref="F5:F57"/>
    <sortCondition descending="1" ref="G5:G57"/>
    <sortCondition descending="1" ref="H5:H57"/>
  </sortState>
  <tableColumns count="19">
    <tableColumn id="1" xr3:uid="{BD768868-8416-42F6-B6BE-96AC4E19D8F2}" name="Aktuell" totalsRowLabel="Ergebnis" dataDxfId="37" totalsRowDxfId="36"/>
    <tableColumn id="2" xr3:uid="{16AF7A20-2AB3-473D-9CB4-FF2E242F1911}" name="Alt" dataDxfId="35" totalsRowDxfId="34"/>
    <tableColumn id="3" xr3:uid="{4F091DCA-355B-4AD8-98CF-3DB7420A7270}" name="Name" dataDxfId="33" totalsRowDxfId="32"/>
    <tableColumn id="6" xr3:uid="{187F42C2-A4DB-4E0A-ABE9-A1498CBA4DD9}" name="Verein" dataDxfId="31" totalsRowDxfId="30"/>
    <tableColumn id="8" xr3:uid="{2E34A907-8CB0-4E3A-99FD-960024CA6478}" name="400,0" totalsRowFunction="sum" dataDxfId="29" totalsRowDxfId="28">
      <calculatedColumnFormula>COUNTIF(Tabelle8.Runde6891011[[#This Row],[1.Rd]:[9.Rd]],"&gt;399,9")</calculatedColumnFormula>
    </tableColumn>
    <tableColumn id="9" xr3:uid="{F91290EA-F54B-40DB-9224-AD6BF729EB52}" name="Siege" dataDxfId="27" totalsRowDxfId="26"/>
    <tableColumn id="10" xr3:uid="{EA53871A-F0C3-4BD1-A610-F33A93E5C65F}" name="Starts" dataDxfId="25" totalsRowDxfId="24">
      <calculatedColumnFormula>COUNT(Tabelle8.Runde6891011[[#This Row],[1.Rd]:[9.Rd]])</calculatedColumnFormula>
    </tableColumn>
    <tableColumn id="11" xr3:uid="{0F7703FF-8C30-4F25-AF42-50F4EF333639}" name="Schnitt" dataDxfId="23" totalsRowDxfId="22"/>
    <tableColumn id="12" xr3:uid="{423F5856-8BEE-4D32-A8BA-D79CE7F5FD82}" name="leer" dataDxfId="21" totalsRowDxfId="20"/>
    <tableColumn id="13" xr3:uid="{AFDE35B2-0FB2-48F0-8234-A15523EE2DDA}" name="1.Rd" totalsRowFunction="count" dataDxfId="19" totalsRowDxfId="18"/>
    <tableColumn id="14" xr3:uid="{96CF8BDA-1BCF-4396-8D29-DB4673A22A32}" name="2.Rd" totalsRowFunction="count" dataDxfId="17" totalsRowDxfId="16"/>
    <tableColumn id="17" xr3:uid="{6DB551C2-9759-4EAD-88D7-FCE71AA533D8}" name="3.Rd" totalsRowFunction="count" dataDxfId="15" totalsRowDxfId="14"/>
    <tableColumn id="4" xr3:uid="{B0CCBAFD-A361-4C96-898C-F6163BB4AFF9}" name="4.Rd" totalsRowFunction="count" dataDxfId="13" totalsRowDxfId="12"/>
    <tableColumn id="5" xr3:uid="{DB2F2414-1812-4480-9AA5-73D4D9EE2D26}" name="5.Rd" totalsRowFunction="count" dataDxfId="11" totalsRowDxfId="10"/>
    <tableColumn id="18" xr3:uid="{57C1CF2B-9862-4E42-974A-D3D502D314B9}" name="6.Rd" totalsRowFunction="count" dataDxfId="9" totalsRowDxfId="8"/>
    <tableColumn id="7" xr3:uid="{BB08FD79-3C74-4A21-A61C-B848970F9A05}" name="7.Rd" totalsRowFunction="count" dataDxfId="7" totalsRowDxfId="6"/>
    <tableColumn id="16" xr3:uid="{1635EC70-8B1B-446D-B389-236E6350D721}" name="8.Rd" totalsRowFunction="custom" dataDxfId="5" totalsRowDxfId="4">
      <totalsRowFormula>SUBTOTAL(103,Tabelle8.Runde6891011[7.Rd])</totalsRowFormula>
    </tableColumn>
    <tableColumn id="19" xr3:uid="{D0D32F7F-A274-482F-920C-686DC4DDDF1A}" name="9.Rd" dataDxfId="3" totalsRowDxfId="2"/>
    <tableColumn id="15" xr3:uid="{BFADF4FE-136A-4B55-8343-0CE2F39970CC}" name="Schnitt2" dataDxfId="1" totalsRowDxfId="0">
      <calculatedColumnFormula>AVERAGE(Tabelle8.Runde6891011[[#This Row],[1.Rd]:[9.Rd]])</calculatedColumnFormula>
    </tableColumn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37461A-C224-460D-BD93-9CE68BB3F8B4}" name="Vereinsname_" displayName="Vereinsname_" ref="A1:A11" totalsRowShown="0">
  <autoFilter ref="A1:A11" xr:uid="{C386615E-D460-4302-A3DE-B609B95F2599}"/>
  <sortState ref="A2:A11">
    <sortCondition ref="A1:A11"/>
  </sortState>
  <tableColumns count="1">
    <tableColumn id="1" xr3:uid="{48CA0A95-A3E2-469D-901F-B97E57EAAA11}" name="Vereinsnamen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AA7C1A-AD8A-48D3-916E-C8A14E7F5218}" name="Tabelle1.Runde" displayName="Tabelle1.Runde" ref="A5:H35" insertRowShift="1" totalsRowShown="0" headerRowDxfId="260" dataDxfId="259">
  <autoFilter ref="A5:H35" xr:uid="{064A299B-69A0-49E2-968D-D37811C4C8BB}"/>
  <sortState ref="A6:H35">
    <sortCondition descending="1" ref="F6:F35"/>
    <sortCondition descending="1" ref="G6:G35"/>
    <sortCondition descending="1" ref="H6:H35"/>
  </sortState>
  <tableColumns count="8">
    <tableColumn id="1" xr3:uid="{95730C3A-F529-4A3B-84A2-E9C59B65C70E}" name="Aktuell" dataDxfId="258"/>
    <tableColumn id="2" xr3:uid="{1CC4216F-6FCA-449A-8F29-B8C74904013F}" name="Alt"/>
    <tableColumn id="3" xr3:uid="{640A6D83-0A5E-464D-B405-D6908500841D}" name="Name" dataDxfId="257"/>
    <tableColumn id="6" xr3:uid="{9C5F0323-4EF2-4833-A1AF-08DC0C685DEB}" name="Verein" dataDxfId="256"/>
    <tableColumn id="8" xr3:uid="{A2916C64-9C27-4438-A482-335D7D9CDDED}" name="400,0" dataDxfId="255"/>
    <tableColumn id="9" xr3:uid="{F75717E4-22B3-4108-8ADB-67F893E262AA}" name="Siege" dataDxfId="254"/>
    <tableColumn id="10" xr3:uid="{725297F2-F84A-4CCF-8E5C-16E2FB022352}" name="Starts" dataDxfId="253"/>
    <tableColumn id="11" xr3:uid="{4AABB76C-01EC-4012-A8DA-F189E84ACD89}" name="Schnitt" dataDxfId="25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8480309-7C71-478B-8D84-DA92D40BAD9C}" name="Tabelle2.Runde" displayName="Tabelle2.Runde" ref="A5:L44" insertRowShift="1" totalsRowShown="0" headerRowDxfId="251" dataDxfId="250">
  <autoFilter ref="A5:L44" xr:uid="{8722C151-1D39-4CC8-AD36-E50501AE7692}"/>
  <sortState ref="A6:L44">
    <sortCondition descending="1" ref="F6:F44"/>
    <sortCondition descending="1" ref="G6:G44"/>
    <sortCondition descending="1" ref="H6:H44"/>
  </sortState>
  <tableColumns count="12">
    <tableColumn id="1" xr3:uid="{562B377A-29FF-4893-8E4B-09DB273C83E2}" name="Aktuell" dataDxfId="249"/>
    <tableColumn id="2" xr3:uid="{1AC6D40C-F05F-41AF-BF7E-B7B795BF5781}" name="Alt" dataDxfId="248"/>
    <tableColumn id="3" xr3:uid="{A62EC6A3-6357-406D-B789-906A6F6A7966}" name="Name" dataDxfId="247"/>
    <tableColumn id="6" xr3:uid="{8C689B9E-E4ED-4897-BE0D-B193F5B264DC}" name="Verein" dataDxfId="246"/>
    <tableColumn id="8" xr3:uid="{08F000A3-0B0A-45A1-9ACA-F2F2989B9091}" name="400,0" dataDxfId="245">
      <calculatedColumnFormula>COUNTIF(Tabelle2.Runde[[#This Row],[1.Rd]:[2.Rd]],"&gt;399,9")</calculatedColumnFormula>
    </tableColumn>
    <tableColumn id="9" xr3:uid="{35F79355-FE2A-492C-B3C6-7200F3D39529}" name="Siege" dataDxfId="244"/>
    <tableColumn id="10" xr3:uid="{00C1B45D-20F7-49E7-9743-BD75DB92F1A9}" name="Starts" dataDxfId="243"/>
    <tableColumn id="11" xr3:uid="{48A972A0-13EC-40DC-A959-D98FF1C07EA0}" name="Schnitt" dataDxfId="242"/>
    <tableColumn id="12" xr3:uid="{759E6EEF-3722-41A2-AE89-6EDCC24A6AF2}" name="leer" dataDxfId="241"/>
    <tableColumn id="13" xr3:uid="{DC357F7F-B6DA-4749-A8E7-74F44B808890}" name="1.Rd" dataDxfId="240"/>
    <tableColumn id="14" xr3:uid="{A233BAA8-1107-411C-B4AC-428743BF1323}" name="2.Rd" dataDxfId="239"/>
    <tableColumn id="15" xr3:uid="{FA0E3B8B-CFF4-4347-BDEF-0A76F738C34A}" name="Schnitt2" dataDxfId="238">
      <calculatedColumnFormula>AVERAGE(Tabelle2.Runde[[#This Row],[1.Rd]:[2.Rd]])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27F0475-3FDA-461B-94A8-5A0DBAC6ACD6}" name="Tabelle3.Runde" displayName="Tabelle3.Runde" ref="A5:M46" insertRowShift="1" totalsRowCount="1" headerRowDxfId="237" dataDxfId="236">
  <autoFilter ref="A5:M45" xr:uid="{36B7358B-54D4-4DCC-BF1B-57BA1051C8C2}"/>
  <sortState ref="A6:M45">
    <sortCondition descending="1" ref="F6:F45"/>
    <sortCondition descending="1" ref="G6:G45"/>
    <sortCondition descending="1" ref="H6:H45"/>
  </sortState>
  <tableColumns count="13">
    <tableColumn id="1" xr3:uid="{648294C0-8C08-4E4D-8A7A-38AD34ABB3DE}" name="Aktuell" totalsRowLabel="Ergebnis" dataDxfId="235" totalsRowDxfId="234"/>
    <tableColumn id="2" xr3:uid="{E1F80831-5644-4643-9E85-90ED924F5900}" name="Alt" dataDxfId="233" totalsRowDxfId="232"/>
    <tableColumn id="3" xr3:uid="{CEA94FCC-A6C9-4459-8B85-DD8D31F96939}" name="Name" dataDxfId="231" totalsRowDxfId="230"/>
    <tableColumn id="6" xr3:uid="{D7AD8D54-6CA5-4D7F-9274-75981BAF7976}" name="Verein" dataDxfId="229" totalsRowDxfId="228"/>
    <tableColumn id="8" xr3:uid="{BD95FF89-6744-4488-83FC-A0B63B5E62F2}" name="400,0" totalsRowFunction="sum" dataDxfId="227" totalsRowDxfId="226">
      <calculatedColumnFormula>COUNTIF(Tabelle3.Runde[[#This Row],[1.Rd]:[3.Rd]],"&gt;399,9")</calculatedColumnFormula>
    </tableColumn>
    <tableColumn id="9" xr3:uid="{7C91B098-189D-4323-93EF-A02D235D694A}" name="Siege" dataDxfId="225" totalsRowDxfId="224"/>
    <tableColumn id="10" xr3:uid="{C55FC524-566A-4AA0-9021-9DBAF5CEAC0A}" name="Starts" dataDxfId="223" totalsRowDxfId="222"/>
    <tableColumn id="11" xr3:uid="{E91BBD50-B41F-4794-AE04-3428E630D32C}" name="Schnitt" dataDxfId="221" totalsRowDxfId="220"/>
    <tableColumn id="12" xr3:uid="{09F7DA4B-3119-4CDD-9908-E2404AE5FE19}" name="leer" dataDxfId="219" totalsRowDxfId="218"/>
    <tableColumn id="13" xr3:uid="{F64AF9BA-9C6B-4B21-B6E3-7BA2375EC043}" name="1.Rd" dataDxfId="217" totalsRowDxfId="216"/>
    <tableColumn id="14" xr3:uid="{54A2972E-632E-490D-B6AF-D313B8ACAB8D}" name="2.Rd" dataDxfId="215" totalsRowDxfId="214"/>
    <tableColumn id="17" xr3:uid="{B6E99D6B-B3C6-4B4C-BE2B-9B7FA46D31AA}" name="3.Rd" dataDxfId="213" totalsRowDxfId="212"/>
    <tableColumn id="15" xr3:uid="{B9DED8E7-6A1B-4B86-B884-95D22726EAEB}" name="Schnitt2" dataDxfId="211" totalsRowDxfId="210">
      <calculatedColumnFormula>AVERAGE(Tabelle3.Runde[[#This Row],[1.Rd]:[3.Rd]])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639B74-DE8A-4D7B-93A2-8924797D10E8}" name="Tabelle4.Runde" displayName="Tabelle4.Runde" ref="A5:N50" insertRowShift="1" totalsRowCount="1" headerRowDxfId="209" dataDxfId="208">
  <autoFilter ref="A5:N49" xr:uid="{15D1D989-77D4-4FE6-A2EE-CA1D42D7680C}"/>
  <sortState ref="A6:N49">
    <sortCondition descending="1" ref="F6:F49"/>
    <sortCondition descending="1" ref="G6:G49"/>
    <sortCondition descending="1" ref="H6:H49"/>
  </sortState>
  <tableColumns count="14">
    <tableColumn id="1" xr3:uid="{8E4A6FBB-16C5-485C-8C9B-D84AAD015EE6}" name="Aktuell" totalsRowLabel="Ergebnis" dataDxfId="207" totalsRowDxfId="206"/>
    <tableColumn id="2" xr3:uid="{2A400BB0-416B-440F-BDC3-95AC882C1842}" name="Alt" dataDxfId="205" totalsRowDxfId="204"/>
    <tableColumn id="3" xr3:uid="{8B762C7F-FE04-4974-AC11-6202C30040A4}" name="Name" dataDxfId="203" totalsRowDxfId="202"/>
    <tableColumn id="6" xr3:uid="{0BF312B5-C3A5-4717-9AD5-55E72F29E064}" name="Verein" dataDxfId="201" totalsRowDxfId="200"/>
    <tableColumn id="8" xr3:uid="{3414E2E9-80D8-49BA-A2F0-61E42E75072C}" name="400,0" totalsRowFunction="sum" dataDxfId="199" totalsRowDxfId="198">
      <calculatedColumnFormula>COUNTIF(Tabelle4.Runde[[#This Row],[1.Rd]:[4.Rd]],"&gt;399,9")</calculatedColumnFormula>
    </tableColumn>
    <tableColumn id="9" xr3:uid="{D7840E9D-C761-4986-827D-59E83C9BD3EC}" name="Siege" dataDxfId="197" totalsRowDxfId="196"/>
    <tableColumn id="10" xr3:uid="{88820EAF-ED29-4D87-A2C6-191C65039E3C}" name="Starts" dataDxfId="195" totalsRowDxfId="194"/>
    <tableColumn id="11" xr3:uid="{DA713513-2344-4316-91CE-77260BF6D6DF}" name="Schnitt" dataDxfId="193" totalsRowDxfId="192"/>
    <tableColumn id="12" xr3:uid="{B557202C-1C34-4E2B-AF18-C4E85FB0E9A6}" name="leer" dataDxfId="191" totalsRowDxfId="190"/>
    <tableColumn id="13" xr3:uid="{14E74032-FBE2-4CF8-A4FA-779909F6E920}" name="1.Rd" totalsRowFunction="count" dataDxfId="189" totalsRowDxfId="188"/>
    <tableColumn id="14" xr3:uid="{DEC3CAB9-3C7C-4514-ABC7-52B3C4858AA5}" name="2.Rd" totalsRowFunction="count" dataDxfId="187" totalsRowDxfId="186"/>
    <tableColumn id="17" xr3:uid="{8D95F5BF-FE78-4424-9B3C-6DAC1C409CDD}" name="3.Rd" totalsRowFunction="count" dataDxfId="185" totalsRowDxfId="184"/>
    <tableColumn id="4" xr3:uid="{77EDF682-3DD2-48EC-9778-19278E831876}" name="4.Rd" totalsRowFunction="count" dataDxfId="183" totalsRowDxfId="182"/>
    <tableColumn id="15" xr3:uid="{F5F3C669-EEA4-4A50-A697-8430C3A73A78}" name="Schnitt2" dataDxfId="181" totalsRowDxfId="180">
      <calculatedColumnFormula>AVERAGE(Tabelle4.Runde[[#This Row],[1.Rd]:[4.Rd]])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71F15F0-B0BE-4C9E-B80E-FD217A370D0A}" name="Tabelle5.Runde6" displayName="Tabelle5.Runde6" ref="A4:O50" insertRowShift="1" totalsRowCount="1" headerRowDxfId="179" dataDxfId="178">
  <autoFilter ref="A4:O49" xr:uid="{15D1D989-77D4-4FE6-A2EE-CA1D42D7680C}"/>
  <sortState ref="A5:O49">
    <sortCondition descending="1" ref="F5:F49"/>
    <sortCondition descending="1" ref="G5:G49"/>
    <sortCondition descending="1" ref="H5:H49"/>
  </sortState>
  <tableColumns count="15">
    <tableColumn id="1" xr3:uid="{B1261F0B-1896-41E3-BD6A-170A8C34B23F}" name="Aktuell" totalsRowLabel="Ergebnis" dataDxfId="177" totalsRowDxfId="176"/>
    <tableColumn id="2" xr3:uid="{A33BB096-1CA8-49D2-A13E-7AE0DE320EBD}" name="Alt" dataDxfId="175" totalsRowDxfId="174"/>
    <tableColumn id="3" xr3:uid="{66BDDF5B-B1A6-46AD-A944-7803FD62CB9C}" name="Name" dataDxfId="173" totalsRowDxfId="172"/>
    <tableColumn id="6" xr3:uid="{A50E0C4D-84BF-47FD-B3E0-5E6A60CC7FBD}" name="Verein" dataDxfId="171" totalsRowDxfId="170"/>
    <tableColumn id="8" xr3:uid="{11B60B70-B42B-49AB-A57B-49260BB5F49E}" name="400,0" totalsRowFunction="sum" dataDxfId="169" totalsRowDxfId="168">
      <calculatedColumnFormula>COUNTIF(Tabelle5.Runde6[[#This Row],[1.Rd]:[5.Rd]],"&gt;399,9")</calculatedColumnFormula>
    </tableColumn>
    <tableColumn id="9" xr3:uid="{D305E987-2216-4125-B19D-9D9011CA6F3A}" name="Siege" dataDxfId="167" totalsRowDxfId="166"/>
    <tableColumn id="10" xr3:uid="{A0C8C63B-B206-4CA3-A169-4E6D4BB441FD}" name="Starts" dataDxfId="165" totalsRowDxfId="164"/>
    <tableColumn id="11" xr3:uid="{1DC1F54C-4D8B-4EBB-BA42-9F23401B8F0D}" name="Schnitt" dataDxfId="163" totalsRowDxfId="162"/>
    <tableColumn id="12" xr3:uid="{409E5F06-610F-472B-9422-7DA9DC5F5B64}" name="leer" dataDxfId="161" totalsRowDxfId="160"/>
    <tableColumn id="13" xr3:uid="{D6A9EAA9-0229-4FFB-B629-0FD18924F5C9}" name="1.Rd" totalsRowFunction="count" dataDxfId="159" totalsRowDxfId="158"/>
    <tableColumn id="14" xr3:uid="{4C51A018-41DE-40C3-983B-A1F03D9DA92E}" name="2.Rd" totalsRowFunction="count" dataDxfId="157" totalsRowDxfId="156"/>
    <tableColumn id="17" xr3:uid="{91FA0F34-11DC-4300-8EA1-A2A3D09D52D1}" name="3.Rd" totalsRowFunction="count" dataDxfId="155" totalsRowDxfId="154"/>
    <tableColumn id="4" xr3:uid="{19D7D3BC-AEF7-45FC-8671-99A74333E389}" name="4.Rd" totalsRowFunction="count" dataDxfId="153" totalsRowDxfId="152"/>
    <tableColumn id="5" xr3:uid="{2E93D134-1802-43FA-B00D-7F7259FD2CF7}" name="5.Rd" totalsRowFunction="count" dataDxfId="151" totalsRowDxfId="150"/>
    <tableColumn id="15" xr3:uid="{D372CF4F-19A8-460C-9F7D-4D1360C12542}" name="Schnitt2" dataDxfId="149" totalsRowDxfId="148">
      <calculatedColumnFormula>AVERAGE(Tabelle5.Runde6[[#This Row],[1.Rd]:[5.Rd]])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BF7DA8-9C00-4AFE-A10B-B705A8353333}" name="Tabelle6.Runde68" displayName="Tabelle6.Runde68" ref="A4:P51" insertRowShift="1" totalsRowCount="1" headerRowDxfId="147" dataDxfId="146">
  <autoFilter ref="A4:P50" xr:uid="{15D1D989-77D4-4FE6-A2EE-CA1D42D7680C}"/>
  <sortState ref="A5:P50">
    <sortCondition descending="1" ref="F5:F50"/>
    <sortCondition descending="1" ref="G5:G50"/>
    <sortCondition descending="1" ref="H5:H50"/>
  </sortState>
  <tableColumns count="16">
    <tableColumn id="1" xr3:uid="{9F920172-4AAF-44E4-9FED-A44B00BEC2FB}" name="Aktuell" totalsRowLabel="Ergebnis" dataDxfId="145" totalsRowDxfId="144"/>
    <tableColumn id="2" xr3:uid="{C49EADAF-59C7-44FD-AA64-FEFBC60F11C3}" name="Alt" dataDxfId="143" totalsRowDxfId="142"/>
    <tableColumn id="3" xr3:uid="{03478356-4B49-468A-AF35-273FAA365D05}" name="Name" dataDxfId="141" totalsRowDxfId="140"/>
    <tableColumn id="6" xr3:uid="{57C8E088-0786-400F-B4F2-D58426039317}" name="Verein" dataDxfId="139" totalsRowDxfId="138"/>
    <tableColumn id="8" xr3:uid="{9DD46856-3C2E-40C5-A96E-94A92062C2FD}" name="400,0" totalsRowFunction="sum" dataDxfId="137" totalsRowDxfId="136">
      <calculatedColumnFormula>COUNTIF(Tabelle6.Runde68[[#This Row],[1.Rd]:[6.Rd]],"&gt;399,9")</calculatedColumnFormula>
    </tableColumn>
    <tableColumn id="9" xr3:uid="{750BA098-9313-43E3-87D4-853C7FC0B6A0}" name="Siege" dataDxfId="135" totalsRowDxfId="134"/>
    <tableColumn id="10" xr3:uid="{65B0FF08-A1A8-4BEA-96F2-1B02489181B1}" name="Starts" dataDxfId="133" totalsRowDxfId="132"/>
    <tableColumn id="11" xr3:uid="{40459A7D-246D-4DB6-BD0B-7D53B664FFCC}" name="Schnitt" dataDxfId="131" totalsRowDxfId="130"/>
    <tableColumn id="12" xr3:uid="{316D0232-40D3-4D79-B017-71C3D53B1F6D}" name="leer" dataDxfId="129" totalsRowDxfId="128"/>
    <tableColumn id="13" xr3:uid="{64CC6236-AE2F-4239-8876-021E2872D6C6}" name="1.Rd" totalsRowFunction="count" dataDxfId="127" totalsRowDxfId="126"/>
    <tableColumn id="14" xr3:uid="{8D026291-B325-4BC5-8AE8-BAEE8F7F64C0}" name="2.Rd" totalsRowFunction="count" dataDxfId="125" totalsRowDxfId="124"/>
    <tableColumn id="17" xr3:uid="{1957429E-6C88-46A2-88E5-620CF1BB91D3}" name="3.Rd" totalsRowFunction="count" dataDxfId="123" totalsRowDxfId="122"/>
    <tableColumn id="4" xr3:uid="{C7B28854-5C82-429D-9984-B056CAF81DDE}" name="4.Rd" totalsRowFunction="count" dataDxfId="121" totalsRowDxfId="120"/>
    <tableColumn id="5" xr3:uid="{2E624048-FC48-4C73-AD65-429606E14AC3}" name="5.Rd" totalsRowFunction="count" dataDxfId="119" totalsRowDxfId="118"/>
    <tableColumn id="18" xr3:uid="{05061179-276A-40BC-994D-8F9BFE070C62}" name="6.Rd" totalsRowFunction="count" dataDxfId="117" totalsRowDxfId="116"/>
    <tableColumn id="15" xr3:uid="{BA9CF286-89DE-49CE-8F29-32E857B1706C}" name="Schnitt2" dataDxfId="115" totalsRowDxfId="114">
      <calculatedColumnFormula>AVERAGE(Tabelle6.Runde68[[#This Row],[1.Rd]:[6.Rd]])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9F3E539-A85A-40CE-B3ED-736FC6E2D04A}" name="Tabelle7.Runde689" displayName="Tabelle7.Runde689" ref="A4:Q54" insertRowShift="1" totalsRowCount="1" headerRowDxfId="113" dataDxfId="112">
  <autoFilter ref="A4:Q53" xr:uid="{15D1D989-77D4-4FE6-A2EE-CA1D42D7680C}"/>
  <sortState ref="A5:Q53">
    <sortCondition descending="1" ref="F5:F53"/>
    <sortCondition descending="1" ref="G5:G53"/>
    <sortCondition descending="1" ref="H5:H53"/>
  </sortState>
  <tableColumns count="17">
    <tableColumn id="1" xr3:uid="{4EBDA4F9-FF1D-4D86-B3BE-7C59F110B4C5}" name="Aktuell" totalsRowLabel="Ergebnis" dataDxfId="111" totalsRowDxfId="110"/>
    <tableColumn id="2" xr3:uid="{2509B45D-E637-4D45-8500-EB0B22200C6D}" name="Alt" dataDxfId="109" totalsRowDxfId="108"/>
    <tableColumn id="3" xr3:uid="{70813706-A8CA-4078-94E7-D3C8DCC44EEB}" name="Name" dataDxfId="107" totalsRowDxfId="106"/>
    <tableColumn id="6" xr3:uid="{B5320C8E-6503-494E-8123-212FFCE3F23B}" name="Verein" dataDxfId="105" totalsRowDxfId="104"/>
    <tableColumn id="8" xr3:uid="{FFC0AE57-BDE0-4477-9083-5523874F9BCF}" name="400,0" totalsRowFunction="sum" dataDxfId="103" totalsRowDxfId="102">
      <calculatedColumnFormula>COUNTIF(Tabelle7.Runde689[[#This Row],[1.Rd]:[7.Rd]],"&gt;399,9")</calculatedColumnFormula>
    </tableColumn>
    <tableColumn id="9" xr3:uid="{EB536DDC-A2C6-4842-B315-9BF6BCCCCC0D}" name="Siege" dataDxfId="101" totalsRowDxfId="100"/>
    <tableColumn id="10" xr3:uid="{58C69AC0-2882-4D05-BB4E-1DF236B61169}" name="Starts" dataDxfId="99" totalsRowDxfId="98">
      <calculatedColumnFormula>COUNT(Tabelle7.Runde689[[#This Row],[1.Rd]:[7.Rd]])</calculatedColumnFormula>
    </tableColumn>
    <tableColumn id="11" xr3:uid="{ABA4A31B-08E5-499B-8CAA-1F33FC712A50}" name="Schnitt" dataDxfId="97" totalsRowDxfId="96"/>
    <tableColumn id="12" xr3:uid="{075E0B9C-9803-4836-BDE0-D4A6701001E5}" name="leer" dataDxfId="95" totalsRowDxfId="94"/>
    <tableColumn id="13" xr3:uid="{B6771317-3EA8-41F4-A02D-CA4B6EFB989D}" name="1.Rd" totalsRowFunction="count" dataDxfId="93" totalsRowDxfId="92"/>
    <tableColumn id="14" xr3:uid="{A9A6841F-D3D0-4B80-B8B9-8B534FE8E2EE}" name="2.Rd" totalsRowFunction="count" dataDxfId="91" totalsRowDxfId="90"/>
    <tableColumn id="17" xr3:uid="{0744B055-55AB-45E6-8BB1-1220F82E944D}" name="3.Rd" totalsRowFunction="count" dataDxfId="89" totalsRowDxfId="88"/>
    <tableColumn id="4" xr3:uid="{C7C36146-A494-4B33-B91E-46D56C4FCFD8}" name="4.Rd" totalsRowFunction="count" dataDxfId="87" totalsRowDxfId="86"/>
    <tableColumn id="5" xr3:uid="{D27CDD22-763B-4543-8D40-DC4847B657DF}" name="5.Rd" totalsRowFunction="count" dataDxfId="85" totalsRowDxfId="84"/>
    <tableColumn id="18" xr3:uid="{4A3C4028-C74A-42BE-864A-5FDC3B9F06A6}" name="6.Rd" totalsRowFunction="count" dataDxfId="83" totalsRowDxfId="82"/>
    <tableColumn id="7" xr3:uid="{1D6B265F-9041-4ED2-8F17-C5A8A25B5489}" name="7.Rd" totalsRowFunction="count" dataDxfId="81" totalsRowDxfId="80"/>
    <tableColumn id="15" xr3:uid="{B05ED0BE-F68F-46D6-9103-B557AA0A8110}" name="Schnitt2" dataDxfId="79" totalsRowDxfId="78">
      <calculatedColumnFormula>AVERAGE(Tabelle7.Runde689[[#This Row],[1.Rd]:[7.Rd]])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BEC7ADD-3B3D-4C04-98A7-93CC03CF8921}" name="Tabelle8.Runde68910" displayName="Tabelle8.Runde68910" ref="A4:R57" insertRowShift="1" totalsRowCount="1" headerRowDxfId="77" dataDxfId="76">
  <autoFilter ref="A4:R56" xr:uid="{15D1D989-77D4-4FE6-A2EE-CA1D42D7680C}"/>
  <sortState ref="A5:R56">
    <sortCondition descending="1" ref="F5:F56"/>
    <sortCondition descending="1" ref="G5:G56"/>
    <sortCondition descending="1" ref="H5:H56"/>
  </sortState>
  <tableColumns count="18">
    <tableColumn id="1" xr3:uid="{2696071F-8D9E-49AD-905A-C394B8BF52D8}" name="Aktuell" totalsRowLabel="Ergebnis" dataDxfId="75" totalsRowDxfId="74"/>
    <tableColumn id="2" xr3:uid="{C0CBAC0A-3E4E-480E-944B-05457971B1E1}" name="Alt" dataDxfId="73" totalsRowDxfId="72"/>
    <tableColumn id="3" xr3:uid="{BC39CAD1-9D83-4B57-9192-D831E1101BEE}" name="Name" dataDxfId="71" totalsRowDxfId="70"/>
    <tableColumn id="6" xr3:uid="{8609B6E8-A274-4A91-8C5D-4ED4D5D2B307}" name="Verein" dataDxfId="69" totalsRowDxfId="68"/>
    <tableColumn id="8" xr3:uid="{2AF1BAED-BE72-4C0D-AADB-8F2F04F11AC5}" name="400,0" totalsRowFunction="sum" dataDxfId="67" totalsRowDxfId="66">
      <calculatedColumnFormula>COUNTIF(Tabelle8.Runde68910[[#This Row],[1.Rd]:[8.Rd]],"&gt;399,9")</calculatedColumnFormula>
    </tableColumn>
    <tableColumn id="9" xr3:uid="{B9E81C7B-BC78-49D3-81A3-0B8F0A04F409}" name="Siege" dataDxfId="65" totalsRowDxfId="64"/>
    <tableColumn id="10" xr3:uid="{4A9FD19D-5479-4CBC-9DCE-BEC517E0DAB4}" name="Starts" dataDxfId="63" totalsRowDxfId="62">
      <calculatedColumnFormula>COUNT(Tabelle8.Runde68910[[#This Row],[1.Rd]:[8.Rd]])</calculatedColumnFormula>
    </tableColumn>
    <tableColumn id="11" xr3:uid="{92027819-4924-4D35-A882-DB45B5D919F6}" name="Schnitt" dataDxfId="61" totalsRowDxfId="60"/>
    <tableColumn id="12" xr3:uid="{323C0047-5D01-4543-8EE9-A41DCA46935E}" name="leer" dataDxfId="59" totalsRowDxfId="58"/>
    <tableColumn id="13" xr3:uid="{26FADA9D-A00C-4082-AFAA-98C47B87A29C}" name="1.Rd" totalsRowFunction="count" dataDxfId="57" totalsRowDxfId="56"/>
    <tableColumn id="14" xr3:uid="{AE08561E-C899-453C-8955-FC55F91457D1}" name="2.Rd" totalsRowFunction="count" dataDxfId="55" totalsRowDxfId="54"/>
    <tableColumn id="17" xr3:uid="{BE91D358-2B92-4ABD-8659-B3183F1193B7}" name="3.Rd" totalsRowFunction="count" dataDxfId="53" totalsRowDxfId="52"/>
    <tableColumn id="4" xr3:uid="{35C4C4DA-8295-433D-89C2-896DC7CBBA2C}" name="4.Rd" totalsRowFunction="count" dataDxfId="51" totalsRowDxfId="50"/>
    <tableColumn id="5" xr3:uid="{DE792B94-A9ED-403A-B8AB-F7017972F6EE}" name="5.Rd" totalsRowFunction="count" dataDxfId="49" totalsRowDxfId="48"/>
    <tableColumn id="18" xr3:uid="{1BB59DA6-1188-4C02-B5AD-B82B507637D0}" name="6.Rd" totalsRowFunction="count" dataDxfId="47" totalsRowDxfId="46"/>
    <tableColumn id="7" xr3:uid="{9DC5A7D0-690D-4FA6-BCAD-FA4D48904B13}" name="7.Rd" totalsRowFunction="count" dataDxfId="45" totalsRowDxfId="44"/>
    <tableColumn id="16" xr3:uid="{028270D4-D1DE-42FF-A941-DAFA7F6D8426}" name="8.Rd" totalsRowFunction="custom" dataDxfId="43" totalsRowDxfId="42">
      <totalsRowFormula>SUBTOTAL(103,Tabelle8.Runde68910[7.Rd])</totalsRowFormula>
    </tableColumn>
    <tableColumn id="15" xr3:uid="{235015F6-2E38-420B-85C1-36F0B037293D}" name="Schnitt2" dataDxfId="41" totalsRowDxfId="40">
      <calculatedColumnFormula>AVERAGE(Tabelle8.Runde68910[[#This Row],[1.Rd]:[8.Rd]])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32BA-1398-4D01-A07A-1F1E57B9520B}">
  <dimension ref="A1:P59"/>
  <sheetViews>
    <sheetView zoomScale="85" zoomScaleNormal="85" workbookViewId="0">
      <selection activeCell="A25" sqref="A25:XFD25"/>
    </sheetView>
  </sheetViews>
  <sheetFormatPr baseColWidth="10" defaultRowHeight="15" x14ac:dyDescent="0.25"/>
  <cols>
    <col min="1" max="1" width="27.5703125" bestFit="1" customWidth="1"/>
    <col min="2" max="2" width="23.42578125" bestFit="1" customWidth="1"/>
    <col min="3" max="12" width="11.85546875" customWidth="1"/>
    <col min="13" max="13" width="11.5703125" bestFit="1" customWidth="1"/>
    <col min="14" max="14" width="11.7109375" bestFit="1" customWidth="1"/>
    <col min="15" max="15" width="19.42578125" bestFit="1" customWidth="1"/>
    <col min="16" max="16" width="12" customWidth="1"/>
  </cols>
  <sheetData>
    <row r="1" spans="1:16" x14ac:dyDescent="0.25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x14ac:dyDescent="0.25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 x14ac:dyDescent="0.25">
      <c r="B3" s="10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6" x14ac:dyDescent="0.25">
      <c r="A4" s="1" t="s">
        <v>5</v>
      </c>
      <c r="B4" s="1" t="s">
        <v>6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72</v>
      </c>
      <c r="M4" s="1" t="s">
        <v>71</v>
      </c>
      <c r="N4" s="1" t="s">
        <v>9</v>
      </c>
      <c r="O4" s="1" t="s">
        <v>73</v>
      </c>
      <c r="P4" s="2" t="s">
        <v>74</v>
      </c>
    </row>
    <row r="5" spans="1:16" x14ac:dyDescent="0.25">
      <c r="A5" s="1" t="s">
        <v>63</v>
      </c>
      <c r="B5" s="1" t="s">
        <v>24</v>
      </c>
      <c r="C5" s="1"/>
      <c r="D5" s="1">
        <v>416.9</v>
      </c>
      <c r="E5" s="1">
        <v>416.9</v>
      </c>
      <c r="F5" s="1"/>
      <c r="G5" s="1"/>
      <c r="H5" s="1"/>
      <c r="I5" s="1"/>
      <c r="J5" s="1"/>
      <c r="K5" s="1"/>
      <c r="L5" s="2"/>
      <c r="M5" s="3">
        <f>COUNT(Tabelle2[[#This Row],[1. Rd]:[10. Rd]])</f>
        <v>2</v>
      </c>
      <c r="N5" s="2">
        <f>AVERAGE(Tabelle2[[#This Row],[1. Rd]:[10. Rd]])</f>
        <v>416.9</v>
      </c>
      <c r="O5" s="2">
        <f>MAX(Tabelle2[[#This Row],[1. Rd]:[10. Rd]])</f>
        <v>416.9</v>
      </c>
      <c r="P5" s="7">
        <f>COUNTIF(Tabelle2[[#This Row],[1. Rd]:[10. Rd]],"&gt;399,9")</f>
        <v>2</v>
      </c>
    </row>
    <row r="6" spans="1:16" x14ac:dyDescent="0.25">
      <c r="A6" s="1" t="s">
        <v>51</v>
      </c>
      <c r="B6" s="1" t="s">
        <v>25</v>
      </c>
      <c r="C6" s="2">
        <v>409.9</v>
      </c>
      <c r="D6" s="2">
        <v>409.1</v>
      </c>
      <c r="E6" s="2">
        <v>404.4</v>
      </c>
      <c r="F6" s="2">
        <v>406</v>
      </c>
      <c r="G6" s="2">
        <v>406.2</v>
      </c>
      <c r="H6" s="2">
        <v>408.5</v>
      </c>
      <c r="I6" s="2">
        <v>398.6</v>
      </c>
      <c r="J6" s="2">
        <v>399.2</v>
      </c>
      <c r="K6" s="2"/>
      <c r="L6" s="2"/>
      <c r="M6" s="3">
        <f>COUNT(Tabelle2[[#This Row],[1. Rd]:[10. Rd]])</f>
        <v>8</v>
      </c>
      <c r="N6" s="2">
        <f>AVERAGE(Tabelle2[[#This Row],[1. Rd]:[10. Rd]])</f>
        <v>405.23750000000001</v>
      </c>
      <c r="O6" s="2">
        <f>MAX(Tabelle2[[#This Row],[1. Rd]:[10. Rd]])</f>
        <v>409.9</v>
      </c>
      <c r="P6" s="7">
        <f>COUNTIF(Tabelle2[[#This Row],[1. Rd]:[10. Rd]],"&gt;399,9")</f>
        <v>6</v>
      </c>
    </row>
    <row r="7" spans="1:16" x14ac:dyDescent="0.25">
      <c r="A7" s="1" t="s">
        <v>55</v>
      </c>
      <c r="B7" s="1" t="s">
        <v>20</v>
      </c>
      <c r="C7" s="2">
        <v>406.4</v>
      </c>
      <c r="D7" s="2">
        <v>401.5</v>
      </c>
      <c r="E7" s="2"/>
      <c r="F7" s="2">
        <v>407.7</v>
      </c>
      <c r="G7" s="2">
        <v>402.3</v>
      </c>
      <c r="H7" s="2">
        <v>402.9</v>
      </c>
      <c r="I7" s="2"/>
      <c r="J7" s="2">
        <v>401.4</v>
      </c>
      <c r="K7" s="2">
        <v>398.6</v>
      </c>
      <c r="L7" s="2"/>
      <c r="M7" s="3">
        <f>COUNT(Tabelle2[[#This Row],[1. Rd]:[10. Rd]])</f>
        <v>7</v>
      </c>
      <c r="N7" s="2">
        <f>AVERAGE(Tabelle2[[#This Row],[1. Rd]:[10. Rd]])</f>
        <v>402.97142857142853</v>
      </c>
      <c r="O7" s="2">
        <f>MAX(Tabelle2[[#This Row],[1. Rd]:[10. Rd]])</f>
        <v>407.7</v>
      </c>
      <c r="P7" s="7">
        <f>COUNTIF(Tabelle2[[#This Row],[1. Rd]:[10. Rd]],"&gt;399,9")</f>
        <v>6</v>
      </c>
    </row>
    <row r="8" spans="1:16" x14ac:dyDescent="0.25">
      <c r="A8" s="1" t="s">
        <v>66</v>
      </c>
      <c r="B8" s="1" t="s">
        <v>23</v>
      </c>
      <c r="C8" s="2"/>
      <c r="D8" s="2">
        <v>407.2</v>
      </c>
      <c r="E8" s="2">
        <v>403.6</v>
      </c>
      <c r="F8" s="2">
        <v>402.1</v>
      </c>
      <c r="G8" s="2"/>
      <c r="H8" s="2"/>
      <c r="I8" s="2">
        <v>404.3</v>
      </c>
      <c r="J8" s="2">
        <v>398.5</v>
      </c>
      <c r="K8" s="2">
        <v>398.7</v>
      </c>
      <c r="L8" s="2"/>
      <c r="M8" s="3">
        <f>COUNT(Tabelle2[[#This Row],[1. Rd]:[10. Rd]])</f>
        <v>6</v>
      </c>
      <c r="N8" s="2">
        <f>AVERAGE(Tabelle2[[#This Row],[1. Rd]:[10. Rd]])</f>
        <v>402.40000000000003</v>
      </c>
      <c r="O8" s="2">
        <f>MAX(Tabelle2[[#This Row],[1. Rd]:[10. Rd]])</f>
        <v>407.2</v>
      </c>
      <c r="P8" s="7">
        <f>COUNTIF(Tabelle2[[#This Row],[1. Rd]:[10. Rd]],"&gt;399,9")</f>
        <v>4</v>
      </c>
    </row>
    <row r="9" spans="1:16" x14ac:dyDescent="0.25">
      <c r="A9" s="1" t="s">
        <v>57</v>
      </c>
      <c r="B9" s="1" t="s">
        <v>21</v>
      </c>
      <c r="C9" s="2">
        <v>395.1</v>
      </c>
      <c r="D9" s="2"/>
      <c r="E9" s="2"/>
      <c r="F9" s="2">
        <v>401.9</v>
      </c>
      <c r="G9" s="2">
        <v>404.1</v>
      </c>
      <c r="H9" s="2">
        <v>400.1</v>
      </c>
      <c r="I9" s="2">
        <v>396.7</v>
      </c>
      <c r="J9" s="2">
        <v>407.2</v>
      </c>
      <c r="K9" s="2">
        <v>411.5</v>
      </c>
      <c r="L9" s="2"/>
      <c r="M9" s="3">
        <f>COUNT(Tabelle2[[#This Row],[1. Rd]:[10. Rd]])</f>
        <v>7</v>
      </c>
      <c r="N9" s="2">
        <f>AVERAGE(Tabelle2[[#This Row],[1. Rd]:[10. Rd]])</f>
        <v>402.37142857142857</v>
      </c>
      <c r="O9" s="2">
        <f>MAX(Tabelle2[[#This Row],[1. Rd]:[10. Rd]])</f>
        <v>411.5</v>
      </c>
      <c r="P9" s="7">
        <f>COUNTIF(Tabelle2[[#This Row],[1. Rd]:[10. Rd]],"&gt;399,9")</f>
        <v>5</v>
      </c>
    </row>
    <row r="10" spans="1:16" x14ac:dyDescent="0.25">
      <c r="A10" s="1" t="s">
        <v>54</v>
      </c>
      <c r="B10" s="1" t="s">
        <v>20</v>
      </c>
      <c r="C10" s="2">
        <v>395.1</v>
      </c>
      <c r="D10" s="2">
        <v>388</v>
      </c>
      <c r="E10" s="2">
        <v>400.9</v>
      </c>
      <c r="F10" s="2">
        <v>408.9</v>
      </c>
      <c r="G10" s="2">
        <v>405.1</v>
      </c>
      <c r="H10" s="2"/>
      <c r="I10" s="2">
        <v>409.4</v>
      </c>
      <c r="J10" s="2">
        <v>408.4</v>
      </c>
      <c r="K10" s="2"/>
      <c r="L10" s="2"/>
      <c r="M10" s="3">
        <f>COUNT(Tabelle2[[#This Row],[1. Rd]:[10. Rd]])</f>
        <v>7</v>
      </c>
      <c r="N10" s="2">
        <f>AVERAGE(Tabelle2[[#This Row],[1. Rd]:[10. Rd]])</f>
        <v>402.25714285714287</v>
      </c>
      <c r="O10" s="2">
        <f>MAX(Tabelle2[[#This Row],[1. Rd]:[10. Rd]])</f>
        <v>409.4</v>
      </c>
      <c r="P10" s="7">
        <f>COUNTIF(Tabelle2[[#This Row],[1. Rd]:[10. Rd]],"&gt;399,9")</f>
        <v>5</v>
      </c>
    </row>
    <row r="11" spans="1:16" x14ac:dyDescent="0.25">
      <c r="A11" s="1" t="s">
        <v>36</v>
      </c>
      <c r="B11" s="1" t="s">
        <v>26</v>
      </c>
      <c r="C11" s="2">
        <v>405.8</v>
      </c>
      <c r="D11" s="2">
        <v>398.9</v>
      </c>
      <c r="E11" s="2">
        <v>398.2</v>
      </c>
      <c r="F11" s="2"/>
      <c r="G11" s="2">
        <v>403.1</v>
      </c>
      <c r="H11" s="2">
        <v>407.3</v>
      </c>
      <c r="I11" s="2"/>
      <c r="J11" s="2"/>
      <c r="K11" s="2">
        <v>398.7</v>
      </c>
      <c r="L11" s="2"/>
      <c r="M11" s="3">
        <f>COUNT(Tabelle2[[#This Row],[1. Rd]:[10. Rd]])</f>
        <v>6</v>
      </c>
      <c r="N11" s="2">
        <f>AVERAGE(Tabelle2[[#This Row],[1. Rd]:[10. Rd]])</f>
        <v>402</v>
      </c>
      <c r="O11" s="2">
        <f>MAX(Tabelle2[[#This Row],[1. Rd]:[10. Rd]])</f>
        <v>407.3</v>
      </c>
      <c r="P11" s="7">
        <f>COUNTIF(Tabelle2[[#This Row],[1. Rd]:[10. Rd]],"&gt;399,9")</f>
        <v>3</v>
      </c>
    </row>
    <row r="12" spans="1:16" x14ac:dyDescent="0.25">
      <c r="A12" s="1" t="s">
        <v>67</v>
      </c>
      <c r="B12" s="1" t="s">
        <v>29</v>
      </c>
      <c r="C12" s="2"/>
      <c r="D12" s="2">
        <v>405.3</v>
      </c>
      <c r="E12" s="2">
        <v>405.3</v>
      </c>
      <c r="F12" s="2">
        <v>397.8</v>
      </c>
      <c r="G12" s="2">
        <v>397</v>
      </c>
      <c r="H12" s="2">
        <v>403.7</v>
      </c>
      <c r="I12" s="2"/>
      <c r="J12" s="2"/>
      <c r="K12" s="2"/>
      <c r="L12" s="2"/>
      <c r="M12" s="3">
        <f>COUNT(Tabelle2[[#This Row],[1. Rd]:[10. Rd]])</f>
        <v>5</v>
      </c>
      <c r="N12" s="2">
        <f>AVERAGE(Tabelle2[[#This Row],[1. Rd]:[10. Rd]])</f>
        <v>401.82000000000005</v>
      </c>
      <c r="O12" s="2">
        <f>MAX(Tabelle2[[#This Row],[1. Rd]:[10. Rd]])</f>
        <v>405.3</v>
      </c>
      <c r="P12" s="7">
        <f>COUNTIF(Tabelle2[[#This Row],[1. Rd]:[10. Rd]],"&gt;399,9")</f>
        <v>3</v>
      </c>
    </row>
    <row r="13" spans="1:16" x14ac:dyDescent="0.25">
      <c r="A13" s="1" t="s">
        <v>43</v>
      </c>
      <c r="B13" s="1" t="s">
        <v>27</v>
      </c>
      <c r="C13" s="2">
        <v>408.2</v>
      </c>
      <c r="D13" s="2"/>
      <c r="E13" s="2"/>
      <c r="F13" s="2">
        <v>396</v>
      </c>
      <c r="G13" s="2">
        <v>390.1</v>
      </c>
      <c r="H13" s="2">
        <v>401.6</v>
      </c>
      <c r="I13" s="2">
        <v>394.4</v>
      </c>
      <c r="J13" s="2">
        <v>401.3</v>
      </c>
      <c r="K13" s="2">
        <v>402.6</v>
      </c>
      <c r="L13" s="2"/>
      <c r="M13" s="3">
        <f>COUNT(Tabelle2[[#This Row],[1. Rd]:[10. Rd]])</f>
        <v>7</v>
      </c>
      <c r="N13" s="2">
        <f>AVERAGE(Tabelle2[[#This Row],[1. Rd]:[10. Rd]])</f>
        <v>399.17142857142863</v>
      </c>
      <c r="O13" s="2">
        <f>MAX(Tabelle2[[#This Row],[1. Rd]:[10. Rd]])</f>
        <v>408.2</v>
      </c>
      <c r="P13" s="7">
        <f>COUNTIF(Tabelle2[[#This Row],[1. Rd]:[10. Rd]],"&gt;399,9")</f>
        <v>4</v>
      </c>
    </row>
    <row r="14" spans="1:16" x14ac:dyDescent="0.25">
      <c r="A14" s="1" t="s">
        <v>32</v>
      </c>
      <c r="B14" s="1" t="s">
        <v>24</v>
      </c>
      <c r="C14" s="2">
        <v>398.8</v>
      </c>
      <c r="D14" s="2"/>
      <c r="E14" s="2"/>
      <c r="F14" s="2"/>
      <c r="G14" s="2"/>
      <c r="H14" s="2"/>
      <c r="I14" s="2"/>
      <c r="J14" s="2"/>
      <c r="K14" s="2"/>
      <c r="L14" s="2"/>
      <c r="M14" s="3">
        <f>COUNT(Tabelle2[[#This Row],[1. Rd]:[10. Rd]])</f>
        <v>1</v>
      </c>
      <c r="N14" s="2">
        <f>AVERAGE(Tabelle2[[#This Row],[1. Rd]:[10. Rd]])</f>
        <v>398.8</v>
      </c>
      <c r="O14" s="2">
        <f>MAX(Tabelle2[[#This Row],[1. Rd]:[10. Rd]])</f>
        <v>398.8</v>
      </c>
      <c r="P14" s="7">
        <f>COUNTIF(Tabelle2[[#This Row],[1. Rd]:[10. Rd]],"&gt;399,9")</f>
        <v>0</v>
      </c>
    </row>
    <row r="15" spans="1:16" x14ac:dyDescent="0.25">
      <c r="A15" s="1" t="s">
        <v>48</v>
      </c>
      <c r="B15" s="1" t="s">
        <v>29</v>
      </c>
      <c r="C15" s="2">
        <v>397.2</v>
      </c>
      <c r="D15" s="2">
        <v>398.6</v>
      </c>
      <c r="E15" s="2">
        <v>399.6</v>
      </c>
      <c r="F15" s="2">
        <v>398.2</v>
      </c>
      <c r="G15" s="2">
        <v>398.8</v>
      </c>
      <c r="H15" s="2">
        <v>406.3</v>
      </c>
      <c r="I15" s="2">
        <v>396.4</v>
      </c>
      <c r="J15" s="2">
        <v>393.5</v>
      </c>
      <c r="K15" s="2">
        <v>399.1</v>
      </c>
      <c r="L15" s="2"/>
      <c r="M15" s="3">
        <f>COUNT(Tabelle2[[#This Row],[1. Rd]:[10. Rd]])</f>
        <v>9</v>
      </c>
      <c r="N15" s="2">
        <f>AVERAGE(Tabelle2[[#This Row],[1. Rd]:[10. Rd]])</f>
        <v>398.63333333333338</v>
      </c>
      <c r="O15" s="2">
        <f>MAX(Tabelle2[[#This Row],[1. Rd]:[10. Rd]])</f>
        <v>406.3</v>
      </c>
      <c r="P15" s="7">
        <f>COUNTIF(Tabelle2[[#This Row],[1. Rd]:[10. Rd]],"&gt;399,9")</f>
        <v>1</v>
      </c>
    </row>
    <row r="16" spans="1:16" x14ac:dyDescent="0.25">
      <c r="A16" s="1" t="s">
        <v>37</v>
      </c>
      <c r="B16" s="1" t="s">
        <v>26</v>
      </c>
      <c r="C16" s="2">
        <v>397</v>
      </c>
      <c r="D16" s="2">
        <v>397.9</v>
      </c>
      <c r="E16" s="2">
        <v>396.9</v>
      </c>
      <c r="F16" s="2">
        <v>397.5</v>
      </c>
      <c r="G16" s="2">
        <v>396.2</v>
      </c>
      <c r="H16" s="2">
        <v>397.3</v>
      </c>
      <c r="I16" s="2">
        <v>395.1</v>
      </c>
      <c r="J16" s="2">
        <v>398</v>
      </c>
      <c r="K16" s="2">
        <v>405.2</v>
      </c>
      <c r="L16" s="2"/>
      <c r="M16" s="3">
        <f>COUNT(Tabelle2[[#This Row],[1. Rd]:[10. Rd]])</f>
        <v>9</v>
      </c>
      <c r="N16" s="2">
        <f>AVERAGE(Tabelle2[[#This Row],[1. Rd]:[10. Rd]])</f>
        <v>397.9</v>
      </c>
      <c r="O16" s="2">
        <f>MAX(Tabelle2[[#This Row],[1. Rd]:[10. Rd]])</f>
        <v>405.2</v>
      </c>
      <c r="P16" s="7">
        <f>COUNTIF(Tabelle2[[#This Row],[1. Rd]:[10. Rd]],"&gt;399,9")</f>
        <v>1</v>
      </c>
    </row>
    <row r="17" spans="1:16" x14ac:dyDescent="0.25">
      <c r="A17" s="1" t="s">
        <v>44</v>
      </c>
      <c r="B17" s="1" t="s">
        <v>27</v>
      </c>
      <c r="C17" s="2">
        <v>401.1</v>
      </c>
      <c r="D17" s="2">
        <v>395.7</v>
      </c>
      <c r="E17" s="2">
        <v>399.5</v>
      </c>
      <c r="F17" s="2"/>
      <c r="G17" s="2">
        <v>394.5</v>
      </c>
      <c r="H17" s="2">
        <v>397</v>
      </c>
      <c r="I17" s="2">
        <v>396</v>
      </c>
      <c r="J17" s="2"/>
      <c r="K17" s="2"/>
      <c r="L17" s="2"/>
      <c r="M17" s="3">
        <f>COUNT(Tabelle2[[#This Row],[1. Rd]:[10. Rd]])</f>
        <v>6</v>
      </c>
      <c r="N17" s="2">
        <f>AVERAGE(Tabelle2[[#This Row],[1. Rd]:[10. Rd]])</f>
        <v>397.3</v>
      </c>
      <c r="O17" s="2">
        <f>MAX(Tabelle2[[#This Row],[1. Rd]:[10. Rd]])</f>
        <v>401.1</v>
      </c>
      <c r="P17" s="7">
        <f>COUNTIF(Tabelle2[[#This Row],[1. Rd]:[10. Rd]],"&gt;399,9")</f>
        <v>1</v>
      </c>
    </row>
    <row r="18" spans="1:16" x14ac:dyDescent="0.25">
      <c r="A18" s="1" t="s">
        <v>38</v>
      </c>
      <c r="B18" s="1" t="s">
        <v>26</v>
      </c>
      <c r="C18" s="2">
        <v>384.1</v>
      </c>
      <c r="D18" s="2">
        <v>388.9</v>
      </c>
      <c r="E18" s="2">
        <v>392.2</v>
      </c>
      <c r="F18" s="2">
        <v>388.3</v>
      </c>
      <c r="G18" s="2">
        <v>398.4</v>
      </c>
      <c r="H18" s="2">
        <v>394</v>
      </c>
      <c r="I18" s="2">
        <v>409.7</v>
      </c>
      <c r="J18" s="2">
        <v>404.5</v>
      </c>
      <c r="K18" s="2">
        <v>405</v>
      </c>
      <c r="L18" s="2"/>
      <c r="M18" s="3">
        <f>COUNT(Tabelle2[[#This Row],[1. Rd]:[10. Rd]])</f>
        <v>9</v>
      </c>
      <c r="N18" s="2">
        <f>AVERAGE(Tabelle2[[#This Row],[1. Rd]:[10. Rd]])</f>
        <v>396.12222222222221</v>
      </c>
      <c r="O18" s="2">
        <f>MAX(Tabelle2[[#This Row],[1. Rd]:[10. Rd]])</f>
        <v>409.7</v>
      </c>
      <c r="P18" s="7">
        <f>COUNTIF(Tabelle2[[#This Row],[1. Rd]:[10. Rd]],"&gt;399,9")</f>
        <v>3</v>
      </c>
    </row>
    <row r="19" spans="1:16" x14ac:dyDescent="0.25">
      <c r="A19" s="1" t="s">
        <v>42</v>
      </c>
      <c r="B19" s="1" t="s">
        <v>27</v>
      </c>
      <c r="C19" s="2">
        <v>397.6</v>
      </c>
      <c r="D19" s="2">
        <v>396.9</v>
      </c>
      <c r="E19" s="2">
        <v>395</v>
      </c>
      <c r="F19" s="2">
        <v>391.9</v>
      </c>
      <c r="G19" s="2">
        <v>393.2</v>
      </c>
      <c r="H19" s="2">
        <v>391.1</v>
      </c>
      <c r="I19" s="2">
        <v>393.7</v>
      </c>
      <c r="J19" s="2">
        <v>402.4</v>
      </c>
      <c r="K19" s="2">
        <v>400.1</v>
      </c>
      <c r="L19" s="2"/>
      <c r="M19" s="3">
        <f>COUNT(Tabelle2[[#This Row],[1. Rd]:[10. Rd]])</f>
        <v>9</v>
      </c>
      <c r="N19" s="2">
        <f>AVERAGE(Tabelle2[[#This Row],[1. Rd]:[10. Rd]])</f>
        <v>395.76666666666665</v>
      </c>
      <c r="O19" s="2">
        <f>MAX(Tabelle2[[#This Row],[1. Rd]:[10. Rd]])</f>
        <v>402.4</v>
      </c>
      <c r="P19" s="7">
        <f>COUNTIF(Tabelle2[[#This Row],[1. Rd]:[10. Rd]],"&gt;399,9")</f>
        <v>2</v>
      </c>
    </row>
    <row r="20" spans="1:16" x14ac:dyDescent="0.25">
      <c r="A20" s="1" t="s">
        <v>65</v>
      </c>
      <c r="B20" s="1" t="s">
        <v>27</v>
      </c>
      <c r="C20" s="2"/>
      <c r="D20" s="2">
        <v>392</v>
      </c>
      <c r="E20" s="2">
        <v>398.7</v>
      </c>
      <c r="F20" s="2">
        <v>394.5</v>
      </c>
      <c r="G20" s="2"/>
      <c r="H20" s="2"/>
      <c r="I20" s="2"/>
      <c r="J20" s="2">
        <v>400.2</v>
      </c>
      <c r="K20" s="2">
        <v>392</v>
      </c>
      <c r="L20" s="2"/>
      <c r="M20" s="3">
        <f>COUNT(Tabelle2[[#This Row],[1. Rd]:[10. Rd]])</f>
        <v>5</v>
      </c>
      <c r="N20" s="2">
        <f>AVERAGE(Tabelle2[[#This Row],[1. Rd]:[10. Rd]])</f>
        <v>395.48</v>
      </c>
      <c r="O20" s="2">
        <f>MAX(Tabelle2[[#This Row],[1. Rd]:[10. Rd]])</f>
        <v>400.2</v>
      </c>
      <c r="P20" s="7">
        <f>COUNTIF(Tabelle2[[#This Row],[1. Rd]:[10. Rd]],"&gt;399,9")</f>
        <v>1</v>
      </c>
    </row>
    <row r="21" spans="1:16" x14ac:dyDescent="0.25">
      <c r="A21" s="1" t="s">
        <v>52</v>
      </c>
      <c r="B21" s="1" t="s">
        <v>25</v>
      </c>
      <c r="C21" s="2">
        <v>401.2</v>
      </c>
      <c r="D21" s="2">
        <v>388.5</v>
      </c>
      <c r="E21" s="2">
        <v>394.5</v>
      </c>
      <c r="F21" s="2"/>
      <c r="G21" s="2">
        <v>394.2</v>
      </c>
      <c r="H21" s="2"/>
      <c r="I21" s="2"/>
      <c r="J21" s="2"/>
      <c r="K21" s="2">
        <v>396.1</v>
      </c>
      <c r="L21" s="2"/>
      <c r="M21" s="3">
        <f>COUNT(Tabelle2[[#This Row],[1. Rd]:[10. Rd]])</f>
        <v>5</v>
      </c>
      <c r="N21" s="2">
        <f>AVERAGE(Tabelle2[[#This Row],[1. Rd]:[10. Rd]])</f>
        <v>394.9</v>
      </c>
      <c r="O21" s="2">
        <f>MAX(Tabelle2[[#This Row],[1. Rd]:[10. Rd]])</f>
        <v>401.2</v>
      </c>
      <c r="P21" s="7">
        <f>COUNTIF(Tabelle2[[#This Row],[1. Rd]:[10. Rd]],"&gt;399,9")</f>
        <v>1</v>
      </c>
    </row>
    <row r="22" spans="1:16" x14ac:dyDescent="0.25">
      <c r="A22" s="1" t="s">
        <v>33</v>
      </c>
      <c r="B22" s="1" t="s">
        <v>28</v>
      </c>
      <c r="C22" s="2">
        <v>400.8</v>
      </c>
      <c r="D22" s="2">
        <v>393.6</v>
      </c>
      <c r="E22" s="2">
        <v>396.5</v>
      </c>
      <c r="F22" s="2">
        <v>395.6</v>
      </c>
      <c r="G22" s="2">
        <v>381.5</v>
      </c>
      <c r="H22" s="2">
        <v>399.7</v>
      </c>
      <c r="I22" s="2">
        <v>392.3</v>
      </c>
      <c r="J22" s="2">
        <v>391.5</v>
      </c>
      <c r="K22" s="2">
        <v>397.7</v>
      </c>
      <c r="L22" s="2"/>
      <c r="M22" s="3">
        <f>COUNT(Tabelle2[[#This Row],[1. Rd]:[10. Rd]])</f>
        <v>9</v>
      </c>
      <c r="N22" s="2">
        <f>AVERAGE(Tabelle2[[#This Row],[1. Rd]:[10. Rd]])</f>
        <v>394.35555555555555</v>
      </c>
      <c r="O22" s="2">
        <f>MAX(Tabelle2[[#This Row],[1. Rd]:[10. Rd]])</f>
        <v>400.8</v>
      </c>
      <c r="P22" s="7">
        <f>COUNTIF(Tabelle2[[#This Row],[1. Rd]:[10. Rd]],"&gt;399,9")</f>
        <v>1</v>
      </c>
    </row>
    <row r="23" spans="1:16" x14ac:dyDescent="0.25">
      <c r="A23" s="1" t="s">
        <v>127</v>
      </c>
      <c r="B23" s="1" t="s">
        <v>26</v>
      </c>
      <c r="C23" s="2"/>
      <c r="D23" s="2"/>
      <c r="E23" s="2"/>
      <c r="F23" s="2">
        <v>393.8</v>
      </c>
      <c r="G23" s="2"/>
      <c r="H23" s="2"/>
      <c r="I23" s="2"/>
      <c r="J23" s="2"/>
      <c r="K23" s="2"/>
      <c r="L23" s="2"/>
      <c r="M23" s="3">
        <f>COUNT(Tabelle2[[#This Row],[1. Rd]:[10. Rd]])</f>
        <v>1</v>
      </c>
      <c r="N23" s="2">
        <f>AVERAGE(Tabelle2[[#This Row],[1. Rd]:[10. Rd]])</f>
        <v>393.8</v>
      </c>
      <c r="O23" s="2">
        <f>MAX(Tabelle2[[#This Row],[1. Rd]:[10. Rd]])</f>
        <v>393.8</v>
      </c>
      <c r="P23" s="7">
        <f>COUNTIF(Tabelle2[[#This Row],[1. Rd]:[10. Rd]],"&gt;399,9")</f>
        <v>0</v>
      </c>
    </row>
    <row r="24" spans="1:16" x14ac:dyDescent="0.25">
      <c r="A24" s="1" t="s">
        <v>34</v>
      </c>
      <c r="B24" s="1" t="s">
        <v>28</v>
      </c>
      <c r="C24" s="2">
        <v>390.5</v>
      </c>
      <c r="D24" s="2">
        <v>387.3</v>
      </c>
      <c r="E24" s="2">
        <v>388.8</v>
      </c>
      <c r="F24" s="2">
        <v>392.2</v>
      </c>
      <c r="G24" s="2">
        <v>399.8</v>
      </c>
      <c r="H24" s="2">
        <v>396.1</v>
      </c>
      <c r="I24" s="2">
        <v>395.1</v>
      </c>
      <c r="J24" s="2">
        <v>395.9</v>
      </c>
      <c r="K24" s="2">
        <v>387.6</v>
      </c>
      <c r="L24" s="2"/>
      <c r="M24" s="3">
        <f>COUNT(Tabelle2[[#This Row],[1. Rd]:[10. Rd]])</f>
        <v>9</v>
      </c>
      <c r="N24" s="2">
        <f>AVERAGE(Tabelle2[[#This Row],[1. Rd]:[10. Rd]])</f>
        <v>392.58888888888885</v>
      </c>
      <c r="O24" s="2">
        <f>MAX(Tabelle2[[#This Row],[1. Rd]:[10. Rd]])</f>
        <v>399.8</v>
      </c>
      <c r="P24" s="7">
        <f>COUNTIF(Tabelle2[[#This Row],[1. Rd]:[10. Rd]],"&gt;399,9")</f>
        <v>0</v>
      </c>
    </row>
    <row r="25" spans="1:16" x14ac:dyDescent="0.25">
      <c r="A25" s="1" t="s">
        <v>30</v>
      </c>
      <c r="B25" s="1" t="s">
        <v>24</v>
      </c>
      <c r="C25" s="2">
        <v>305.2</v>
      </c>
      <c r="D25" s="2">
        <v>402.8</v>
      </c>
      <c r="E25" s="2">
        <v>408.9</v>
      </c>
      <c r="F25" s="2">
        <v>400.4</v>
      </c>
      <c r="G25" s="2">
        <v>406.6</v>
      </c>
      <c r="H25" s="2">
        <v>411.7</v>
      </c>
      <c r="I25" s="2"/>
      <c r="J25" s="2"/>
      <c r="K25" s="2">
        <v>409.3</v>
      </c>
      <c r="L25" s="2"/>
      <c r="M25" s="3">
        <f>COUNT(Tabelle2[[#This Row],[1. Rd]:[10. Rd]])</f>
        <v>7</v>
      </c>
      <c r="N25" s="2">
        <f>AVERAGE(Tabelle2[[#This Row],[1. Rd]:[10. Rd]])</f>
        <v>392.12857142857143</v>
      </c>
      <c r="O25" s="2">
        <f>MAX(Tabelle2[[#This Row],[1. Rd]:[10. Rd]])</f>
        <v>411.7</v>
      </c>
      <c r="P25" s="7">
        <f>COUNTIF(Tabelle2[[#This Row],[1. Rd]:[10. Rd]],"&gt;399,9")</f>
        <v>6</v>
      </c>
    </row>
    <row r="26" spans="1:16" x14ac:dyDescent="0.25">
      <c r="A26" s="1" t="s">
        <v>40</v>
      </c>
      <c r="B26" s="1" t="s">
        <v>23</v>
      </c>
      <c r="C26" s="2">
        <v>391.5</v>
      </c>
      <c r="D26" s="2">
        <v>394.9</v>
      </c>
      <c r="E26" s="2">
        <v>396.8</v>
      </c>
      <c r="F26" s="2">
        <v>386.1</v>
      </c>
      <c r="G26" s="2">
        <v>388.5</v>
      </c>
      <c r="H26" s="2">
        <v>393.3</v>
      </c>
      <c r="I26" s="2">
        <v>385.6</v>
      </c>
      <c r="J26" s="2">
        <v>392.4</v>
      </c>
      <c r="K26" s="2">
        <v>394.7</v>
      </c>
      <c r="L26" s="2"/>
      <c r="M26" s="3">
        <f>COUNT(Tabelle2[[#This Row],[1. Rd]:[10. Rd]])</f>
        <v>9</v>
      </c>
      <c r="N26" s="2">
        <f>AVERAGE(Tabelle2[[#This Row],[1. Rd]:[10. Rd]])</f>
        <v>391.53333333333336</v>
      </c>
      <c r="O26" s="2">
        <f>MAX(Tabelle2[[#This Row],[1. Rd]:[10. Rd]])</f>
        <v>396.8</v>
      </c>
      <c r="P26" s="7">
        <f>COUNTIF(Tabelle2[[#This Row],[1. Rd]:[10. Rd]],"&gt;399,9")</f>
        <v>0</v>
      </c>
    </row>
    <row r="27" spans="1:16" x14ac:dyDescent="0.25">
      <c r="A27" s="1" t="s">
        <v>31</v>
      </c>
      <c r="B27" s="1" t="s">
        <v>24</v>
      </c>
      <c r="C27" s="2">
        <v>380.4</v>
      </c>
      <c r="D27" s="2"/>
      <c r="E27" s="2"/>
      <c r="F27" s="2">
        <v>398.9</v>
      </c>
      <c r="G27" s="2">
        <v>390.8</v>
      </c>
      <c r="H27" s="2">
        <v>392.9</v>
      </c>
      <c r="I27" s="2">
        <v>389.1</v>
      </c>
      <c r="J27" s="2">
        <v>390.6</v>
      </c>
      <c r="K27" s="2">
        <v>397.4</v>
      </c>
      <c r="L27" s="2"/>
      <c r="M27" s="3">
        <f>COUNT(Tabelle2[[#This Row],[1. Rd]:[10. Rd]])</f>
        <v>7</v>
      </c>
      <c r="N27" s="2">
        <f>AVERAGE(Tabelle2[[#This Row],[1. Rd]:[10. Rd]])</f>
        <v>391.44285714285712</v>
      </c>
      <c r="O27" s="2">
        <f>MAX(Tabelle2[[#This Row],[1. Rd]:[10. Rd]])</f>
        <v>398.9</v>
      </c>
      <c r="P27" s="7">
        <f>COUNTIF(Tabelle2[[#This Row],[1. Rd]:[10. Rd]],"&gt;399,9")</f>
        <v>0</v>
      </c>
    </row>
    <row r="28" spans="1:16" x14ac:dyDescent="0.25">
      <c r="A28" s="1" t="s">
        <v>49</v>
      </c>
      <c r="B28" s="1" t="s">
        <v>29</v>
      </c>
      <c r="C28" s="2">
        <v>391.3</v>
      </c>
      <c r="D28" s="2"/>
      <c r="E28" s="2"/>
      <c r="F28" s="2"/>
      <c r="G28" s="2"/>
      <c r="H28" s="2"/>
      <c r="I28" s="2"/>
      <c r="J28" s="2"/>
      <c r="K28" s="2"/>
      <c r="L28" s="2"/>
      <c r="M28" s="3">
        <f>COUNT(Tabelle2[[#This Row],[1. Rd]:[10. Rd]])</f>
        <v>1</v>
      </c>
      <c r="N28" s="2">
        <f>AVERAGE(Tabelle2[[#This Row],[1. Rd]:[10. Rd]])</f>
        <v>391.3</v>
      </c>
      <c r="O28" s="2">
        <f>MAX(Tabelle2[[#This Row],[1. Rd]:[10. Rd]])</f>
        <v>391.3</v>
      </c>
      <c r="P28" s="7">
        <f>COUNTIF(Tabelle2[[#This Row],[1. Rd]:[10. Rd]],"&gt;399,9")</f>
        <v>0</v>
      </c>
    </row>
    <row r="29" spans="1:16" x14ac:dyDescent="0.25">
      <c r="A29" s="1" t="s">
        <v>39</v>
      </c>
      <c r="B29" s="1" t="s">
        <v>23</v>
      </c>
      <c r="C29" s="2">
        <v>397.2</v>
      </c>
      <c r="D29" s="2">
        <v>389.7</v>
      </c>
      <c r="E29" s="2">
        <v>393.8</v>
      </c>
      <c r="F29" s="2">
        <v>377.4</v>
      </c>
      <c r="G29" s="2">
        <v>392.9</v>
      </c>
      <c r="H29" s="2">
        <v>394.5</v>
      </c>
      <c r="I29" s="2">
        <v>389.4</v>
      </c>
      <c r="J29" s="2">
        <v>393.3</v>
      </c>
      <c r="K29" s="2">
        <v>388.2</v>
      </c>
      <c r="L29" s="2"/>
      <c r="M29" s="3">
        <f>COUNT(Tabelle2[[#This Row],[1. Rd]:[10. Rd]])</f>
        <v>9</v>
      </c>
      <c r="N29" s="2">
        <f>AVERAGE(Tabelle2[[#This Row],[1. Rd]:[10. Rd]])</f>
        <v>390.71111111111111</v>
      </c>
      <c r="O29" s="2">
        <f>MAX(Tabelle2[[#This Row],[1. Rd]:[10. Rd]])</f>
        <v>397.2</v>
      </c>
      <c r="P29" s="7">
        <f>COUNTIF(Tabelle2[[#This Row],[1. Rd]:[10. Rd]],"&gt;399,9")</f>
        <v>0</v>
      </c>
    </row>
    <row r="30" spans="1:16" x14ac:dyDescent="0.25">
      <c r="A30" s="1" t="s">
        <v>68</v>
      </c>
      <c r="B30" s="1" t="s">
        <v>29</v>
      </c>
      <c r="C30" s="2"/>
      <c r="D30" s="2">
        <v>391.7</v>
      </c>
      <c r="E30" s="2">
        <v>387.5</v>
      </c>
      <c r="F30" s="2">
        <v>383.3</v>
      </c>
      <c r="G30" s="2">
        <v>391.8</v>
      </c>
      <c r="H30" s="2">
        <v>381.3</v>
      </c>
      <c r="I30" s="2">
        <v>390.9</v>
      </c>
      <c r="J30" s="2">
        <v>393.2</v>
      </c>
      <c r="K30" s="2"/>
      <c r="L30" s="2"/>
      <c r="M30" s="3">
        <f>COUNT(Tabelle2[[#This Row],[1. Rd]:[10. Rd]])</f>
        <v>7</v>
      </c>
      <c r="N30" s="2">
        <f>AVERAGE(Tabelle2[[#This Row],[1. Rd]:[10. Rd]])</f>
        <v>388.52857142857141</v>
      </c>
      <c r="O30" s="2">
        <f>MAX(Tabelle2[[#This Row],[1. Rd]:[10. Rd]])</f>
        <v>393.2</v>
      </c>
      <c r="P30" s="7">
        <f>COUNTIF(Tabelle2[[#This Row],[1. Rd]:[10. Rd]],"&gt;399,9")</f>
        <v>0</v>
      </c>
    </row>
    <row r="31" spans="1:16" x14ac:dyDescent="0.25">
      <c r="A31" s="1" t="s">
        <v>56</v>
      </c>
      <c r="B31" s="1" t="s">
        <v>20</v>
      </c>
      <c r="C31" s="2">
        <v>392.3</v>
      </c>
      <c r="D31" s="2">
        <v>389.8</v>
      </c>
      <c r="E31" s="2">
        <v>390</v>
      </c>
      <c r="F31" s="2">
        <v>391.8</v>
      </c>
      <c r="G31" s="2"/>
      <c r="H31" s="2">
        <v>381.4</v>
      </c>
      <c r="I31" s="2">
        <v>396.1</v>
      </c>
      <c r="J31" s="2">
        <v>393.1</v>
      </c>
      <c r="K31" s="2">
        <v>372.4</v>
      </c>
      <c r="L31" s="2"/>
      <c r="M31" s="3">
        <f>COUNT(Tabelle2[[#This Row],[1. Rd]:[10. Rd]])</f>
        <v>8</v>
      </c>
      <c r="N31" s="2">
        <f>AVERAGE(Tabelle2[[#This Row],[1. Rd]:[10. Rd]])</f>
        <v>388.36249999999995</v>
      </c>
      <c r="O31" s="2">
        <f>MAX(Tabelle2[[#This Row],[1. Rd]:[10. Rd]])</f>
        <v>396.1</v>
      </c>
      <c r="P31" s="7">
        <f>COUNTIF(Tabelle2[[#This Row],[1. Rd]:[10. Rd]],"&gt;399,9")</f>
        <v>0</v>
      </c>
    </row>
    <row r="32" spans="1:16" x14ac:dyDescent="0.25">
      <c r="A32" s="1" t="s">
        <v>46</v>
      </c>
      <c r="B32" s="1" t="s">
        <v>22</v>
      </c>
      <c r="C32" s="2">
        <v>394.2</v>
      </c>
      <c r="D32" s="2">
        <v>389.4</v>
      </c>
      <c r="E32" s="2">
        <v>388.5</v>
      </c>
      <c r="F32" s="2">
        <v>381</v>
      </c>
      <c r="G32" s="2"/>
      <c r="H32" s="2"/>
      <c r="I32" s="2"/>
      <c r="J32" s="2"/>
      <c r="K32" s="2"/>
      <c r="L32" s="2"/>
      <c r="M32" s="3">
        <f>COUNT(Tabelle2[[#This Row],[1. Rd]:[10. Rd]])</f>
        <v>4</v>
      </c>
      <c r="N32" s="2">
        <f>AVERAGE(Tabelle2[[#This Row],[1. Rd]:[10. Rd]])</f>
        <v>388.27499999999998</v>
      </c>
      <c r="O32" s="2">
        <f>MAX(Tabelle2[[#This Row],[1. Rd]:[10. Rd]])</f>
        <v>394.2</v>
      </c>
      <c r="P32" s="7">
        <f>COUNTIF(Tabelle2[[#This Row],[1. Rd]:[10. Rd]],"&gt;399,9")</f>
        <v>0</v>
      </c>
    </row>
    <row r="33" spans="1:16" x14ac:dyDescent="0.25">
      <c r="A33" s="1" t="s">
        <v>35</v>
      </c>
      <c r="B33" s="1" t="s">
        <v>28</v>
      </c>
      <c r="C33" s="2">
        <v>389.5</v>
      </c>
      <c r="D33" s="2">
        <v>383.9</v>
      </c>
      <c r="E33" s="2">
        <v>382.7</v>
      </c>
      <c r="F33" s="2">
        <v>389.3</v>
      </c>
      <c r="G33" s="2">
        <v>390.5</v>
      </c>
      <c r="H33" s="2">
        <v>393.7</v>
      </c>
      <c r="I33" s="2">
        <v>385.5</v>
      </c>
      <c r="J33" s="2">
        <v>384.3</v>
      </c>
      <c r="K33" s="2">
        <v>391.5</v>
      </c>
      <c r="L33" s="2"/>
      <c r="M33" s="3">
        <f>COUNT(Tabelle2[[#This Row],[1. Rd]:[10. Rd]])</f>
        <v>9</v>
      </c>
      <c r="N33" s="2">
        <f>AVERAGE(Tabelle2[[#This Row],[1. Rd]:[10. Rd]])</f>
        <v>387.87777777777779</v>
      </c>
      <c r="O33" s="2">
        <f>MAX(Tabelle2[[#This Row],[1. Rd]:[10. Rd]])</f>
        <v>393.7</v>
      </c>
      <c r="P33" s="7">
        <f>COUNTIF(Tabelle2[[#This Row],[1. Rd]:[10. Rd]],"&gt;399,9")</f>
        <v>0</v>
      </c>
    </row>
    <row r="34" spans="1:16" x14ac:dyDescent="0.25">
      <c r="A34" s="1" t="s">
        <v>45</v>
      </c>
      <c r="B34" s="1" t="s">
        <v>22</v>
      </c>
      <c r="C34" s="2">
        <v>385.8</v>
      </c>
      <c r="D34" s="2"/>
      <c r="E34" s="2"/>
      <c r="F34" s="2">
        <v>386.3</v>
      </c>
      <c r="G34" s="2">
        <v>391.1</v>
      </c>
      <c r="H34" s="2">
        <v>384.4</v>
      </c>
      <c r="I34" s="2">
        <v>387</v>
      </c>
      <c r="J34" s="2">
        <v>385.1</v>
      </c>
      <c r="K34" s="2">
        <v>392.3</v>
      </c>
      <c r="L34" s="2"/>
      <c r="M34" s="3">
        <f>COUNT(Tabelle2[[#This Row],[1. Rd]:[10. Rd]])</f>
        <v>7</v>
      </c>
      <c r="N34" s="2">
        <f>AVERAGE(Tabelle2[[#This Row],[1. Rd]:[10. Rd]])</f>
        <v>387.42857142857144</v>
      </c>
      <c r="O34" s="2">
        <f>MAX(Tabelle2[[#This Row],[1. Rd]:[10. Rd]])</f>
        <v>392.3</v>
      </c>
      <c r="P34" s="7">
        <f>COUNTIF(Tabelle2[[#This Row],[1. Rd]:[10. Rd]],"&gt;399,9")</f>
        <v>0</v>
      </c>
    </row>
    <row r="35" spans="1:16" x14ac:dyDescent="0.25">
      <c r="A35" s="1" t="s">
        <v>148</v>
      </c>
      <c r="B35" s="1" t="s">
        <v>26</v>
      </c>
      <c r="C35" s="2"/>
      <c r="D35" s="2"/>
      <c r="E35" s="2"/>
      <c r="F35" s="2"/>
      <c r="G35" s="2"/>
      <c r="H35" s="2"/>
      <c r="I35" s="2"/>
      <c r="J35" s="2">
        <v>385.2</v>
      </c>
      <c r="K35" s="2"/>
      <c r="L35" s="2"/>
      <c r="M35" s="3">
        <f>COUNT(Tabelle2[[#This Row],[1. Rd]:[10. Rd]])</f>
        <v>1</v>
      </c>
      <c r="N35" s="2">
        <f>AVERAGE(Tabelle2[[#This Row],[1. Rd]:[10. Rd]])</f>
        <v>385.2</v>
      </c>
      <c r="O35" s="2">
        <f>MAX(Tabelle2[[#This Row],[1. Rd]:[10. Rd]])</f>
        <v>385.2</v>
      </c>
      <c r="P35" s="7">
        <f>COUNTIF(Tabelle2[[#This Row],[1. Rd]:[10. Rd]],"&gt;399,9")</f>
        <v>0</v>
      </c>
    </row>
    <row r="36" spans="1:16" x14ac:dyDescent="0.25">
      <c r="A36" s="1" t="s">
        <v>58</v>
      </c>
      <c r="B36" s="1" t="s">
        <v>21</v>
      </c>
      <c r="C36" s="2">
        <v>381.5</v>
      </c>
      <c r="D36" s="2">
        <v>390.3</v>
      </c>
      <c r="E36" s="2">
        <v>377.2</v>
      </c>
      <c r="F36" s="2">
        <v>383.1</v>
      </c>
      <c r="G36" s="2">
        <v>387.5</v>
      </c>
      <c r="H36" s="2">
        <v>386.4</v>
      </c>
      <c r="I36" s="2"/>
      <c r="J36" s="2"/>
      <c r="K36" s="2">
        <v>384.1</v>
      </c>
      <c r="L36" s="2"/>
      <c r="M36" s="3">
        <f>COUNT(Tabelle2[[#This Row],[1. Rd]:[10. Rd]])</f>
        <v>7</v>
      </c>
      <c r="N36" s="2">
        <f>AVERAGE(Tabelle2[[#This Row],[1. Rd]:[10. Rd]])</f>
        <v>384.3</v>
      </c>
      <c r="O36" s="2">
        <f>MAX(Tabelle2[[#This Row],[1. Rd]:[10. Rd]])</f>
        <v>390.3</v>
      </c>
      <c r="P36" s="7">
        <f>COUNTIF(Tabelle2[[#This Row],[1. Rd]:[10. Rd]],"&gt;399,9")</f>
        <v>0</v>
      </c>
    </row>
    <row r="37" spans="1:16" x14ac:dyDescent="0.25">
      <c r="A37" s="1" t="s">
        <v>124</v>
      </c>
      <c r="B37" s="1" t="s">
        <v>24</v>
      </c>
      <c r="C37" s="2"/>
      <c r="D37" s="2"/>
      <c r="E37" s="2"/>
      <c r="F37" s="2">
        <v>383.9</v>
      </c>
      <c r="G37" s="2"/>
      <c r="H37" s="2"/>
      <c r="I37" s="2"/>
      <c r="J37" s="2"/>
      <c r="K37" s="2"/>
      <c r="L37" s="2"/>
      <c r="M37" s="3">
        <f>COUNT(Tabelle2[[#This Row],[1. Rd]:[10. Rd]])</f>
        <v>1</v>
      </c>
      <c r="N37" s="2">
        <f>AVERAGE(Tabelle2[[#This Row],[1. Rd]:[10. Rd]])</f>
        <v>383.9</v>
      </c>
      <c r="O37" s="2">
        <f>MAX(Tabelle2[[#This Row],[1. Rd]:[10. Rd]])</f>
        <v>383.9</v>
      </c>
      <c r="P37" s="7">
        <f>COUNTIF(Tabelle2[[#This Row],[1. Rd]:[10. Rd]],"&gt;399,9")</f>
        <v>0</v>
      </c>
    </row>
    <row r="38" spans="1:16" x14ac:dyDescent="0.25">
      <c r="A38" s="1" t="s">
        <v>60</v>
      </c>
      <c r="B38" s="1" t="s">
        <v>22</v>
      </c>
      <c r="C38" s="2"/>
      <c r="D38" s="2">
        <v>378.9</v>
      </c>
      <c r="E38" s="2">
        <v>392.8</v>
      </c>
      <c r="F38" s="2"/>
      <c r="G38" s="2">
        <v>380.8</v>
      </c>
      <c r="H38" s="2">
        <v>376.7</v>
      </c>
      <c r="I38" s="2">
        <v>384.8</v>
      </c>
      <c r="J38" s="2">
        <v>391.1</v>
      </c>
      <c r="K38" s="2">
        <v>379.7</v>
      </c>
      <c r="L38" s="2"/>
      <c r="M38" s="3">
        <f>COUNT(Tabelle2[[#This Row],[1. Rd]:[10. Rd]])</f>
        <v>7</v>
      </c>
      <c r="N38" s="2">
        <f>AVERAGE(Tabelle2[[#This Row],[1. Rd]:[10. Rd]])</f>
        <v>383.54285714285709</v>
      </c>
      <c r="O38" s="2">
        <f>MAX(Tabelle2[[#This Row],[1. Rd]:[10. Rd]])</f>
        <v>392.8</v>
      </c>
      <c r="P38" s="7">
        <f>COUNTIF(Tabelle2[[#This Row],[1. Rd]:[10. Rd]],"&gt;399,9")</f>
        <v>0</v>
      </c>
    </row>
    <row r="39" spans="1:16" x14ac:dyDescent="0.25">
      <c r="A39" s="1" t="s">
        <v>146</v>
      </c>
      <c r="B39" s="1" t="s">
        <v>29</v>
      </c>
      <c r="C39" s="2"/>
      <c r="D39" s="2"/>
      <c r="E39" s="2"/>
      <c r="F39" s="2"/>
      <c r="G39" s="2"/>
      <c r="H39" s="2"/>
      <c r="I39" s="2"/>
      <c r="J39" s="2">
        <v>383.3</v>
      </c>
      <c r="K39" s="2"/>
      <c r="L39" s="2"/>
      <c r="M39" s="3">
        <f>COUNT(Tabelle2[[#This Row],[1. Rd]:[10. Rd]])</f>
        <v>1</v>
      </c>
      <c r="N39" s="2">
        <f>AVERAGE(Tabelle2[[#This Row],[1. Rd]:[10. Rd]])</f>
        <v>383.3</v>
      </c>
      <c r="O39" s="2">
        <f>MAX(Tabelle2[[#This Row],[1. Rd]:[10. Rd]])</f>
        <v>383.3</v>
      </c>
      <c r="P39" s="7">
        <f>COUNTIF(Tabelle2[[#This Row],[1. Rd]:[10. Rd]],"&gt;399,9")</f>
        <v>0</v>
      </c>
    </row>
    <row r="40" spans="1:16" x14ac:dyDescent="0.25">
      <c r="A40" s="1" t="s">
        <v>136</v>
      </c>
      <c r="B40" s="1" t="s">
        <v>25</v>
      </c>
      <c r="C40" s="2"/>
      <c r="D40" s="2"/>
      <c r="E40" s="2"/>
      <c r="F40" s="2"/>
      <c r="G40" s="2"/>
      <c r="H40" s="2">
        <v>378.8</v>
      </c>
      <c r="I40" s="2">
        <v>387.6</v>
      </c>
      <c r="J40" s="2"/>
      <c r="K40" s="2"/>
      <c r="L40" s="2"/>
      <c r="M40" s="3">
        <f>COUNT(Tabelle2[[#This Row],[1. Rd]:[10. Rd]])</f>
        <v>2</v>
      </c>
      <c r="N40" s="2">
        <f>AVERAGE(Tabelle2[[#This Row],[1. Rd]:[10. Rd]])</f>
        <v>383.20000000000005</v>
      </c>
      <c r="O40" s="2">
        <f>MAX(Tabelle2[[#This Row],[1. Rd]:[10. Rd]])</f>
        <v>387.6</v>
      </c>
      <c r="P40" s="7">
        <f>COUNTIF(Tabelle2[[#This Row],[1. Rd]:[10. Rd]],"&gt;399,9")</f>
        <v>0</v>
      </c>
    </row>
    <row r="41" spans="1:16" x14ac:dyDescent="0.25">
      <c r="A41" s="1" t="s">
        <v>47</v>
      </c>
      <c r="B41" s="1" t="s">
        <v>22</v>
      </c>
      <c r="C41" s="2">
        <v>375.7</v>
      </c>
      <c r="D41" s="2">
        <v>377.4</v>
      </c>
      <c r="E41" s="2">
        <v>392.6</v>
      </c>
      <c r="F41" s="2">
        <v>385.5</v>
      </c>
      <c r="G41" s="2">
        <v>376.1</v>
      </c>
      <c r="H41" s="2">
        <v>376.7</v>
      </c>
      <c r="I41" s="2">
        <v>385.3</v>
      </c>
      <c r="J41" s="2">
        <v>391.8</v>
      </c>
      <c r="K41" s="2">
        <v>375.2</v>
      </c>
      <c r="L41" s="2"/>
      <c r="M41" s="3">
        <f>COUNT(Tabelle2[[#This Row],[1. Rd]:[10. Rd]])</f>
        <v>9</v>
      </c>
      <c r="N41" s="2">
        <f>AVERAGE(Tabelle2[[#This Row],[1. Rd]:[10. Rd]])</f>
        <v>381.81111111111107</v>
      </c>
      <c r="O41" s="2">
        <f>MAX(Tabelle2[[#This Row],[1. Rd]:[10. Rd]])</f>
        <v>392.6</v>
      </c>
      <c r="P41" s="7">
        <f>COUNTIF(Tabelle2[[#This Row],[1. Rd]:[10. Rd]],"&gt;399,9")</f>
        <v>0</v>
      </c>
    </row>
    <row r="42" spans="1:16" x14ac:dyDescent="0.25">
      <c r="A42" s="1" t="s">
        <v>61</v>
      </c>
      <c r="B42" s="1" t="s">
        <v>25</v>
      </c>
      <c r="C42" s="2"/>
      <c r="D42" s="2">
        <v>377.1</v>
      </c>
      <c r="E42" s="2">
        <v>373.8</v>
      </c>
      <c r="F42" s="2">
        <v>382</v>
      </c>
      <c r="G42" s="2">
        <v>380.1</v>
      </c>
      <c r="H42" s="2">
        <v>385.8</v>
      </c>
      <c r="I42" s="2">
        <v>386.8</v>
      </c>
      <c r="J42" s="2">
        <v>383.1</v>
      </c>
      <c r="K42" s="2">
        <v>383.8</v>
      </c>
      <c r="L42" s="2"/>
      <c r="M42" s="3">
        <f>COUNT(Tabelle2[[#This Row],[1. Rd]:[10. Rd]])</f>
        <v>8</v>
      </c>
      <c r="N42" s="2">
        <f>AVERAGE(Tabelle2[[#This Row],[1. Rd]:[10. Rd]])</f>
        <v>381.5625</v>
      </c>
      <c r="O42" s="2">
        <f>MAX(Tabelle2[[#This Row],[1. Rd]:[10. Rd]])</f>
        <v>386.8</v>
      </c>
      <c r="P42" s="7">
        <f>COUNTIF(Tabelle2[[#This Row],[1. Rd]:[10. Rd]],"&gt;399,9")</f>
        <v>0</v>
      </c>
    </row>
    <row r="43" spans="1:16" x14ac:dyDescent="0.25">
      <c r="A43" s="1" t="s">
        <v>123</v>
      </c>
      <c r="B43" s="1" t="s">
        <v>21</v>
      </c>
      <c r="C43" s="2"/>
      <c r="D43" s="2"/>
      <c r="E43" s="2"/>
      <c r="F43" s="2">
        <v>384.7</v>
      </c>
      <c r="G43" s="2"/>
      <c r="H43" s="2"/>
      <c r="I43" s="2">
        <v>378.7</v>
      </c>
      <c r="J43" s="2">
        <v>378.8</v>
      </c>
      <c r="K43" s="2"/>
      <c r="L43" s="2"/>
      <c r="M43" s="3">
        <f>COUNT(Tabelle2[[#This Row],[1. Rd]:[10. Rd]])</f>
        <v>3</v>
      </c>
      <c r="N43" s="2">
        <f>AVERAGE(Tabelle2[[#This Row],[1. Rd]:[10. Rd]])</f>
        <v>380.73333333333335</v>
      </c>
      <c r="O43" s="2">
        <f>MAX(Tabelle2[[#This Row],[1. Rd]:[10. Rd]])</f>
        <v>384.7</v>
      </c>
      <c r="P43" s="7">
        <f>COUNTIF(Tabelle2[[#This Row],[1. Rd]:[10. Rd]],"&gt;399,9")</f>
        <v>0</v>
      </c>
    </row>
    <row r="44" spans="1:16" x14ac:dyDescent="0.25">
      <c r="A44" s="1" t="s">
        <v>125</v>
      </c>
      <c r="B44" s="1" t="s">
        <v>25</v>
      </c>
      <c r="C44" s="2"/>
      <c r="D44" s="2"/>
      <c r="E44" s="2"/>
      <c r="F44" s="2">
        <v>380.7</v>
      </c>
      <c r="G44" s="2"/>
      <c r="H44" s="2"/>
      <c r="I44" s="2"/>
      <c r="J44" s="2"/>
      <c r="K44" s="2"/>
      <c r="L44" s="2"/>
      <c r="M44" s="3">
        <f>COUNT(Tabelle2[[#This Row],[1. Rd]:[10. Rd]])</f>
        <v>1</v>
      </c>
      <c r="N44" s="2">
        <f>AVERAGE(Tabelle2[[#This Row],[1. Rd]:[10. Rd]])</f>
        <v>380.7</v>
      </c>
      <c r="O44" s="2">
        <f>MAX(Tabelle2[[#This Row],[1. Rd]:[10. Rd]])</f>
        <v>380.7</v>
      </c>
      <c r="P44" s="7">
        <f>COUNTIF(Tabelle2[[#This Row],[1. Rd]:[10. Rd]],"&gt;399,9")</f>
        <v>0</v>
      </c>
    </row>
    <row r="45" spans="1:16" x14ac:dyDescent="0.25">
      <c r="A45" s="1" t="s">
        <v>59</v>
      </c>
      <c r="B45" s="1" t="s">
        <v>21</v>
      </c>
      <c r="C45" s="2">
        <v>384.3</v>
      </c>
      <c r="D45" s="2">
        <v>370.8</v>
      </c>
      <c r="E45" s="2">
        <v>371.1</v>
      </c>
      <c r="F45" s="2"/>
      <c r="G45" s="2"/>
      <c r="H45" s="2"/>
      <c r="I45" s="2"/>
      <c r="J45" s="2"/>
      <c r="K45" s="2">
        <v>392.2</v>
      </c>
      <c r="L45" s="2"/>
      <c r="M45" s="3">
        <f>COUNT(Tabelle2[[#This Row],[1. Rd]:[10. Rd]])</f>
        <v>4</v>
      </c>
      <c r="N45" s="2">
        <f>AVERAGE(Tabelle2[[#This Row],[1. Rd]:[10. Rd]])</f>
        <v>379.6</v>
      </c>
      <c r="O45" s="2">
        <f>MAX(Tabelle2[[#This Row],[1. Rd]:[10. Rd]])</f>
        <v>392.2</v>
      </c>
      <c r="P45" s="7">
        <f>COUNTIF(Tabelle2[[#This Row],[1. Rd]:[10. Rd]],"&gt;399,9")</f>
        <v>0</v>
      </c>
    </row>
    <row r="46" spans="1:16" x14ac:dyDescent="0.25">
      <c r="A46" s="1" t="s">
        <v>138</v>
      </c>
      <c r="B46" s="1" t="s">
        <v>26</v>
      </c>
      <c r="C46" s="2"/>
      <c r="D46" s="2"/>
      <c r="E46" s="2"/>
      <c r="F46" s="2"/>
      <c r="G46" s="2"/>
      <c r="H46" s="2"/>
      <c r="I46" s="2">
        <v>378.6</v>
      </c>
      <c r="J46" s="2"/>
      <c r="K46" s="2"/>
      <c r="L46" s="2"/>
      <c r="M46" s="3">
        <f>COUNT(Tabelle2[[#This Row],[1. Rd]:[10. Rd]])</f>
        <v>1</v>
      </c>
      <c r="N46" s="2">
        <f>AVERAGE(Tabelle2[[#This Row],[1. Rd]:[10. Rd]])</f>
        <v>378.6</v>
      </c>
      <c r="O46" s="2">
        <f>MAX(Tabelle2[[#This Row],[1. Rd]:[10. Rd]])</f>
        <v>378.6</v>
      </c>
      <c r="P46" s="7">
        <f>COUNTIF(Tabelle2[[#This Row],[1. Rd]:[10. Rd]],"&gt;399,9")</f>
        <v>0</v>
      </c>
    </row>
    <row r="47" spans="1:16" x14ac:dyDescent="0.25">
      <c r="A47" s="1" t="s">
        <v>69</v>
      </c>
      <c r="B47" s="1" t="s">
        <v>20</v>
      </c>
      <c r="C47" s="2"/>
      <c r="D47" s="2"/>
      <c r="E47" s="2">
        <v>375.1</v>
      </c>
      <c r="F47" s="2"/>
      <c r="G47" s="2">
        <v>379.1</v>
      </c>
      <c r="H47" s="2">
        <v>379.6</v>
      </c>
      <c r="I47" s="2">
        <v>384.3</v>
      </c>
      <c r="J47" s="2"/>
      <c r="K47" s="2">
        <v>374.7</v>
      </c>
      <c r="L47" s="2"/>
      <c r="M47" s="3">
        <f>COUNT(Tabelle2[[#This Row],[1. Rd]:[10. Rd]])</f>
        <v>5</v>
      </c>
      <c r="N47" s="2">
        <f>AVERAGE(Tabelle2[[#This Row],[1. Rd]:[10. Rd]])</f>
        <v>378.56000000000006</v>
      </c>
      <c r="O47" s="2">
        <f>MAX(Tabelle2[[#This Row],[1. Rd]:[10. Rd]])</f>
        <v>384.3</v>
      </c>
      <c r="P47" s="7">
        <f>COUNTIF(Tabelle2[[#This Row],[1. Rd]:[10. Rd]],"&gt;399,9")</f>
        <v>0</v>
      </c>
    </row>
    <row r="48" spans="1:16" x14ac:dyDescent="0.25">
      <c r="A48" s="1" t="s">
        <v>64</v>
      </c>
      <c r="B48" s="1" t="s">
        <v>24</v>
      </c>
      <c r="C48" s="2"/>
      <c r="D48" s="2">
        <v>382</v>
      </c>
      <c r="E48" s="2">
        <v>389.4</v>
      </c>
      <c r="F48" s="2"/>
      <c r="G48" s="2">
        <v>374.7</v>
      </c>
      <c r="H48" s="2">
        <v>370.3</v>
      </c>
      <c r="I48" s="2">
        <v>373.1</v>
      </c>
      <c r="J48" s="2">
        <v>378.3</v>
      </c>
      <c r="K48" s="2">
        <v>379.2</v>
      </c>
      <c r="L48" s="2"/>
      <c r="M48" s="3">
        <f>COUNT(Tabelle2[[#This Row],[1. Rd]:[10. Rd]])</f>
        <v>7</v>
      </c>
      <c r="N48" s="2">
        <f>AVERAGE(Tabelle2[[#This Row],[1. Rd]:[10. Rd]])</f>
        <v>378.14285714285717</v>
      </c>
      <c r="O48" s="2">
        <f>MAX(Tabelle2[[#This Row],[1. Rd]:[10. Rd]])</f>
        <v>389.4</v>
      </c>
      <c r="P48" s="7">
        <f>COUNTIF(Tabelle2[[#This Row],[1. Rd]:[10. Rd]],"&gt;399,9")</f>
        <v>0</v>
      </c>
    </row>
    <row r="49" spans="1:16" x14ac:dyDescent="0.25">
      <c r="A49" s="1" t="s">
        <v>50</v>
      </c>
      <c r="B49" s="1" t="s">
        <v>29</v>
      </c>
      <c r="C49" s="2">
        <v>372.6</v>
      </c>
      <c r="D49" s="2"/>
      <c r="E49" s="2"/>
      <c r="F49" s="2"/>
      <c r="G49" s="2"/>
      <c r="H49" s="2"/>
      <c r="I49" s="2"/>
      <c r="J49" s="2"/>
      <c r="K49" s="2">
        <v>380.5</v>
      </c>
      <c r="L49" s="2"/>
      <c r="M49" s="3">
        <f>COUNT(Tabelle2[[#This Row],[1. Rd]:[10. Rd]])</f>
        <v>2</v>
      </c>
      <c r="N49" s="2">
        <f>AVERAGE(Tabelle2[[#This Row],[1. Rd]:[10. Rd]])</f>
        <v>376.55</v>
      </c>
      <c r="O49" s="2">
        <f>MAX(Tabelle2[[#This Row],[1. Rd]:[10. Rd]])</f>
        <v>380.5</v>
      </c>
      <c r="P49" s="7">
        <f>COUNTIF(Tabelle2[[#This Row],[1. Rd]:[10. Rd]],"&gt;399,9")</f>
        <v>0</v>
      </c>
    </row>
    <row r="50" spans="1:16" x14ac:dyDescent="0.25">
      <c r="A50" s="1" t="s">
        <v>147</v>
      </c>
      <c r="B50" s="1" t="s">
        <v>25</v>
      </c>
      <c r="C50" s="2"/>
      <c r="D50" s="2"/>
      <c r="E50" s="2"/>
      <c r="F50" s="2"/>
      <c r="G50" s="2"/>
      <c r="H50" s="2"/>
      <c r="I50" s="2"/>
      <c r="J50" s="2">
        <v>373.3</v>
      </c>
      <c r="K50" s="2"/>
      <c r="L50" s="2"/>
      <c r="M50" s="3">
        <f>COUNT(Tabelle2[[#This Row],[1. Rd]:[10. Rd]])</f>
        <v>1</v>
      </c>
      <c r="N50" s="2">
        <f>AVERAGE(Tabelle2[[#This Row],[1. Rd]:[10. Rd]])</f>
        <v>373.3</v>
      </c>
      <c r="O50" s="2">
        <f>MAX(Tabelle2[[#This Row],[1. Rd]:[10. Rd]])</f>
        <v>373.3</v>
      </c>
      <c r="P50" s="7">
        <f>COUNTIF(Tabelle2[[#This Row],[1. Rd]:[10. Rd]],"&gt;399,9")</f>
        <v>0</v>
      </c>
    </row>
    <row r="51" spans="1:16" x14ac:dyDescent="0.25">
      <c r="A51" s="1" t="s">
        <v>62</v>
      </c>
      <c r="B51" s="1" t="s">
        <v>21</v>
      </c>
      <c r="C51" s="2"/>
      <c r="D51" s="2">
        <v>381.8</v>
      </c>
      <c r="E51" s="2">
        <v>366.8</v>
      </c>
      <c r="F51" s="2"/>
      <c r="G51" s="2">
        <v>363.2</v>
      </c>
      <c r="H51" s="2">
        <v>371.1</v>
      </c>
      <c r="I51" s="2">
        <v>371</v>
      </c>
      <c r="J51" s="2">
        <v>385.8</v>
      </c>
      <c r="K51" s="2"/>
      <c r="L51" s="2"/>
      <c r="M51" s="3">
        <f>COUNT(Tabelle2[[#This Row],[1. Rd]:[10. Rd]])</f>
        <v>6</v>
      </c>
      <c r="N51" s="2">
        <f>AVERAGE(Tabelle2[[#This Row],[1. Rd]:[10. Rd]])</f>
        <v>373.28333333333336</v>
      </c>
      <c r="O51" s="2">
        <f>MAX(Tabelle2[[#This Row],[1. Rd]:[10. Rd]])</f>
        <v>385.8</v>
      </c>
      <c r="P51" s="7">
        <f>COUNTIF(Tabelle2[[#This Row],[1. Rd]:[10. Rd]],"&gt;399,9")</f>
        <v>0</v>
      </c>
    </row>
    <row r="52" spans="1:16" x14ac:dyDescent="0.25">
      <c r="A52" s="1" t="s">
        <v>152</v>
      </c>
      <c r="B52" s="1" t="s">
        <v>29</v>
      </c>
      <c r="C52" s="2"/>
      <c r="D52" s="2"/>
      <c r="E52" s="2"/>
      <c r="F52" s="2"/>
      <c r="G52" s="2"/>
      <c r="H52" s="2"/>
      <c r="I52" s="2"/>
      <c r="J52" s="2"/>
      <c r="K52" s="2">
        <v>371.9</v>
      </c>
      <c r="L52" s="2"/>
      <c r="M52" s="3">
        <f>COUNT(Tabelle2[[#This Row],[1. Rd]:[10. Rd]])</f>
        <v>1</v>
      </c>
      <c r="N52" s="2">
        <f>AVERAGE(Tabelle2[[#This Row],[1. Rd]:[10. Rd]])</f>
        <v>371.9</v>
      </c>
      <c r="O52" s="2">
        <f>MAX(Tabelle2[[#This Row],[1. Rd]:[10. Rd]])</f>
        <v>371.9</v>
      </c>
      <c r="P52" s="7">
        <f>COUNTIF(Tabelle2[[#This Row],[1. Rd]:[10. Rd]],"&gt;399,9")</f>
        <v>0</v>
      </c>
    </row>
    <row r="53" spans="1:16" x14ac:dyDescent="0.25">
      <c r="A53" s="1" t="s">
        <v>53</v>
      </c>
      <c r="B53" s="1" t="s">
        <v>25</v>
      </c>
      <c r="C53" s="2">
        <v>372.9</v>
      </c>
      <c r="D53" s="2"/>
      <c r="E53" s="2"/>
      <c r="F53" s="2"/>
      <c r="G53" s="2"/>
      <c r="H53" s="2"/>
      <c r="I53" s="2"/>
      <c r="J53" s="2"/>
      <c r="K53" s="2">
        <v>367</v>
      </c>
      <c r="L53" s="2"/>
      <c r="M53" s="3">
        <f>COUNT(Tabelle2[[#This Row],[1. Rd]:[10. Rd]])</f>
        <v>2</v>
      </c>
      <c r="N53" s="2">
        <f>AVERAGE(Tabelle2[[#This Row],[1. Rd]:[10. Rd]])</f>
        <v>369.95</v>
      </c>
      <c r="O53" s="2">
        <f>MAX(Tabelle2[[#This Row],[1. Rd]:[10. Rd]])</f>
        <v>372.9</v>
      </c>
      <c r="P53" s="7">
        <f>COUNTIF(Tabelle2[[#This Row],[1. Rd]:[10. Rd]],"&gt;399,9")</f>
        <v>0</v>
      </c>
    </row>
    <row r="54" spans="1:16" x14ac:dyDescent="0.25">
      <c r="A54" s="1" t="s">
        <v>132</v>
      </c>
      <c r="B54" s="1" t="s">
        <v>23</v>
      </c>
      <c r="C54" s="2"/>
      <c r="D54" s="2"/>
      <c r="E54" s="2"/>
      <c r="F54" s="2"/>
      <c r="G54" s="2">
        <v>371.7</v>
      </c>
      <c r="H54" s="2">
        <v>367.5</v>
      </c>
      <c r="I54" s="2"/>
      <c r="J54" s="2"/>
      <c r="K54" s="2"/>
      <c r="L54" s="2"/>
      <c r="M54" s="3">
        <f>COUNT(Tabelle2[[#This Row],[1. Rd]:[10. Rd]])</f>
        <v>2</v>
      </c>
      <c r="N54" s="2">
        <f>AVERAGE(Tabelle2[[#This Row],[1. Rd]:[10. Rd]])</f>
        <v>369.6</v>
      </c>
      <c r="O54" s="2">
        <f>MAX(Tabelle2[[#This Row],[1. Rd]:[10. Rd]])</f>
        <v>371.7</v>
      </c>
      <c r="P54" s="7">
        <f>COUNTIF(Tabelle2[[#This Row],[1. Rd]:[10. Rd]],"&gt;399,9")</f>
        <v>0</v>
      </c>
    </row>
    <row r="55" spans="1:16" x14ac:dyDescent="0.25">
      <c r="A55" s="1" t="s">
        <v>41</v>
      </c>
      <c r="B55" s="1" t="s">
        <v>23</v>
      </c>
      <c r="C55" s="2">
        <v>362.8</v>
      </c>
      <c r="D55" s="2"/>
      <c r="E55" s="2"/>
      <c r="F55" s="2"/>
      <c r="G55" s="2"/>
      <c r="H55" s="2"/>
      <c r="I55" s="2"/>
      <c r="J55" s="2"/>
      <c r="K55" s="2"/>
      <c r="L55" s="2"/>
      <c r="M55" s="3">
        <f>COUNT(Tabelle2[[#This Row],[1. Rd]:[10. Rd]])</f>
        <v>1</v>
      </c>
      <c r="N55" s="2">
        <f>AVERAGE(Tabelle2[[#This Row],[1. Rd]:[10. Rd]])</f>
        <v>362.8</v>
      </c>
      <c r="O55" s="2">
        <f>MAX(Tabelle2[[#This Row],[1. Rd]:[10. Rd]])</f>
        <v>362.8</v>
      </c>
      <c r="P55" s="7">
        <f>COUNTIF(Tabelle2[[#This Row],[1. Rd]:[10. Rd]],"&gt;399,9")</f>
        <v>0</v>
      </c>
    </row>
    <row r="56" spans="1:16" x14ac:dyDescent="0.25">
      <c r="A56" s="1" t="s">
        <v>140</v>
      </c>
      <c r="B56" s="1" t="s">
        <v>29</v>
      </c>
      <c r="C56" s="2"/>
      <c r="D56" s="2"/>
      <c r="E56" s="2"/>
      <c r="F56" s="2"/>
      <c r="G56" s="2"/>
      <c r="H56" s="2"/>
      <c r="I56" s="2">
        <v>360.5</v>
      </c>
      <c r="J56" s="2"/>
      <c r="K56" s="2"/>
      <c r="L56" s="2"/>
      <c r="M56" s="3">
        <f>COUNT(Tabelle2[[#This Row],[1. Rd]:[10. Rd]])</f>
        <v>1</v>
      </c>
      <c r="N56" s="2">
        <f>AVERAGE(Tabelle2[[#This Row],[1. Rd]:[10. Rd]])</f>
        <v>360.5</v>
      </c>
      <c r="O56" s="2">
        <f>MAX(Tabelle2[[#This Row],[1. Rd]:[10. Rd]])</f>
        <v>360.5</v>
      </c>
      <c r="P56" s="7">
        <f>COUNTIF(Tabelle2[[#This Row],[1. Rd]:[10. Rd]],"&gt;399,9")</f>
        <v>0</v>
      </c>
    </row>
    <row r="57" spans="1:16" x14ac:dyDescent="0.25">
      <c r="A57" s="1" t="s">
        <v>141</v>
      </c>
      <c r="B57" s="1" t="s">
        <v>24</v>
      </c>
      <c r="C57" s="2"/>
      <c r="D57" s="2"/>
      <c r="E57" s="2"/>
      <c r="F57" s="2"/>
      <c r="G57" s="2"/>
      <c r="H57" s="2"/>
      <c r="I57" s="2">
        <v>351.8</v>
      </c>
      <c r="J57" s="2">
        <v>363.3</v>
      </c>
      <c r="K57" s="2"/>
      <c r="L57" s="2"/>
      <c r="M57" s="3">
        <f>COUNT(Tabelle2[[#This Row],[1. Rd]:[10. Rd]])</f>
        <v>2</v>
      </c>
      <c r="N57" s="2">
        <f>AVERAGE(Tabelle2[[#This Row],[1. Rd]:[10. Rd]])</f>
        <v>357.55</v>
      </c>
      <c r="O57" s="2">
        <f>MAX(Tabelle2[[#This Row],[1. Rd]:[10. Rd]])</f>
        <v>363.3</v>
      </c>
      <c r="P57" s="7">
        <f>COUNTIF(Tabelle2[[#This Row],[1. Rd]:[10. Rd]],"&gt;399,9")</f>
        <v>0</v>
      </c>
    </row>
    <row r="58" spans="1:16" x14ac:dyDescent="0.25">
      <c r="A58" s="1" t="s">
        <v>70</v>
      </c>
      <c r="B58" s="1"/>
      <c r="C58" s="3">
        <f>COUNTIF(Tabelle2[1. Rd],"&gt;399,9")</f>
        <v>7</v>
      </c>
      <c r="D58" s="3">
        <f>COUNTIF(Tabelle2[2. Rd],"&gt;399,9")</f>
        <v>6</v>
      </c>
      <c r="E58" s="3">
        <f>COUNTIF(Tabelle2[3. Rd],"&gt;399,9")</f>
        <v>6</v>
      </c>
      <c r="F58" s="3">
        <f>COUNTIF(Tabelle2[4. Rd],"&gt;399,9")</f>
        <v>6</v>
      </c>
      <c r="G58" s="3">
        <f>COUNTIF(Tabelle2[5. Rd],"&gt;399,9")</f>
        <v>6</v>
      </c>
      <c r="H58" s="3">
        <f>COUNTIF(Tabelle2[6. Rd],"&gt;399,9")</f>
        <v>8</v>
      </c>
      <c r="I58" s="3">
        <f>COUNTIF(Tabelle2[7. Rd],"&gt;399,9")</f>
        <v>3</v>
      </c>
      <c r="J58" s="3">
        <f>COUNTIF(Tabelle2[8. Rd],"&gt;399,9")</f>
        <v>7</v>
      </c>
      <c r="K58" s="3">
        <f>COUNTIF(Tabelle2[9. Rd],"&gt;399,9")</f>
        <v>6</v>
      </c>
      <c r="L58" s="3">
        <f>COUNTIF(Tabelle2[10. Rd],"&gt;399,9")</f>
        <v>0</v>
      </c>
      <c r="M58" s="1"/>
      <c r="N58" s="1"/>
      <c r="O58" s="1"/>
      <c r="P58" s="1">
        <f>SUBTOTAL(109,Tabelle2[400,0])</f>
        <v>55</v>
      </c>
    </row>
    <row r="59" spans="1:16" x14ac:dyDescent="0.25">
      <c r="C59">
        <f>COUNT(Tabelle2[1. Rd])</f>
        <v>30</v>
      </c>
      <c r="D59">
        <f>COUNT(Tabelle2[2. Rd])</f>
        <v>30</v>
      </c>
      <c r="E59">
        <f>COUNT(Tabelle2[3. Rd])</f>
        <v>30</v>
      </c>
      <c r="F59">
        <f>COUNT(Tabelle2[4. Rd])</f>
        <v>30</v>
      </c>
      <c r="G59">
        <f>COUNT(Tabelle2[5. Rd])</f>
        <v>30</v>
      </c>
      <c r="H59">
        <f>COUNT(Tabelle2[6. Rd])</f>
        <v>30</v>
      </c>
      <c r="I59">
        <f>COUNT(Tabelle2[7. Rd])</f>
        <v>30</v>
      </c>
      <c r="J59">
        <f>COUNT(Tabelle2[8. Rd])</f>
        <v>30</v>
      </c>
      <c r="K59">
        <f>COUNT(Tabelle2[9. Rd])</f>
        <v>30</v>
      </c>
      <c r="L59">
        <f>COUNT(Tabelle2[10. Rd])</f>
        <v>0</v>
      </c>
    </row>
  </sheetData>
  <mergeCells count="3">
    <mergeCell ref="B1:N1"/>
    <mergeCell ref="B2:N2"/>
    <mergeCell ref="B3:N3"/>
  </mergeCells>
  <conditionalFormatting sqref="C5:K57">
    <cfRule type="cellIs" dxfId="300" priority="11" operator="greaterThan">
      <formula>400</formula>
    </cfRule>
  </conditionalFormatting>
  <conditionalFormatting sqref="C5:L57">
    <cfRule type="cellIs" dxfId="299" priority="7" operator="greaterThan">
      <formula>399.9</formula>
    </cfRule>
    <cfRule type="cellIs" dxfId="298" priority="8" operator="greaterThan">
      <formula>400</formula>
    </cfRule>
  </conditionalFormatting>
  <conditionalFormatting sqref="C58:L58">
    <cfRule type="cellIs" dxfId="297" priority="6" operator="greaterThan">
      <formula>400</formula>
    </cfRule>
  </conditionalFormatting>
  <conditionalFormatting sqref="C58:L58">
    <cfRule type="cellIs" dxfId="296" priority="4" operator="greaterThan">
      <formula>399.9</formula>
    </cfRule>
    <cfRule type="cellIs" dxfId="295" priority="5" operator="greaterThan">
      <formula>400</formula>
    </cfRule>
  </conditionalFormatting>
  <dataValidations count="1">
    <dataValidation type="list" allowBlank="1" showInputMessage="1" showErrorMessage="1" sqref="B5:B57" xr:uid="{669D99D0-5D8F-4162-A44D-4F866DB5F93F}">
      <formula1>Vereinsnamen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C483-9793-404A-8E4A-7072EF37645B}">
  <dimension ref="A1:T66"/>
  <sheetViews>
    <sheetView tabSelected="1" zoomScale="75" zoomScaleNormal="75" workbookViewId="0">
      <selection activeCell="N22" sqref="N22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6" width="11.7109375" customWidth="1"/>
    <col min="7" max="7" width="11.85546875" customWidth="1"/>
    <col min="8" max="8" width="13" bestFit="1" customWidth="1"/>
    <col min="9" max="9" width="2.5703125" customWidth="1"/>
    <col min="10" max="12" width="10.85546875" bestFit="1" customWidth="1"/>
    <col min="13" max="18" width="10.85546875" customWidth="1"/>
  </cols>
  <sheetData>
    <row r="1" spans="1:20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20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20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4" spans="1:20" x14ac:dyDescent="0.25">
      <c r="A4" t="s">
        <v>3</v>
      </c>
      <c r="B4" t="s">
        <v>4</v>
      </c>
      <c r="C4" s="1" t="s">
        <v>5</v>
      </c>
      <c r="D4" s="1" t="s">
        <v>6</v>
      </c>
      <c r="E4" s="2" t="s">
        <v>74</v>
      </c>
      <c r="F4" s="1" t="s">
        <v>7</v>
      </c>
      <c r="G4" s="1" t="s">
        <v>8</v>
      </c>
      <c r="H4" s="1" t="s">
        <v>9</v>
      </c>
      <c r="I4" s="1" t="s">
        <v>113</v>
      </c>
      <c r="J4" s="1" t="s">
        <v>114</v>
      </c>
      <c r="K4" s="1" t="s">
        <v>115</v>
      </c>
      <c r="L4" s="1" t="s">
        <v>117</v>
      </c>
      <c r="M4" s="1" t="s">
        <v>122</v>
      </c>
      <c r="N4" s="1" t="s">
        <v>133</v>
      </c>
      <c r="O4" s="1" t="s">
        <v>135</v>
      </c>
      <c r="P4" s="1" t="s">
        <v>139</v>
      </c>
      <c r="Q4" s="1" t="s">
        <v>145</v>
      </c>
      <c r="R4" s="1" t="s">
        <v>153</v>
      </c>
      <c r="S4" s="1" t="s">
        <v>116</v>
      </c>
    </row>
    <row r="5" spans="1:20" x14ac:dyDescent="0.25">
      <c r="A5" s="9" t="s">
        <v>77</v>
      </c>
      <c r="B5" s="9" t="s">
        <v>79</v>
      </c>
      <c r="C5" s="1" t="s">
        <v>38</v>
      </c>
      <c r="D5" s="1" t="s">
        <v>26</v>
      </c>
      <c r="E5" s="3">
        <f>COUNTIF(Tabelle8.Runde6891011[[#This Row],[1.Rd]:[9.Rd]],"&gt;399,9")</f>
        <v>3</v>
      </c>
      <c r="F5" s="1">
        <v>6</v>
      </c>
      <c r="G5" s="1">
        <f>COUNT(Tabelle8.Runde6891011[[#This Row],[1.Rd]:[9.Rd]])</f>
        <v>9</v>
      </c>
      <c r="H5" s="2">
        <v>396.1</v>
      </c>
      <c r="I5" s="1"/>
      <c r="J5" s="6">
        <v>384.1</v>
      </c>
      <c r="K5" s="2">
        <v>388.9</v>
      </c>
      <c r="L5" s="2">
        <v>392.2</v>
      </c>
      <c r="M5" s="2">
        <v>388.3</v>
      </c>
      <c r="N5" s="2">
        <v>398.4</v>
      </c>
      <c r="O5" s="2">
        <v>394</v>
      </c>
      <c r="P5" s="2">
        <v>409.7</v>
      </c>
      <c r="Q5" s="2">
        <v>404.5</v>
      </c>
      <c r="R5" s="2">
        <v>405</v>
      </c>
      <c r="S5" s="2">
        <f>AVERAGE(Tabelle8.Runde6891011[[#This Row],[1.Rd]:[9.Rd]])</f>
        <v>396.12222222222221</v>
      </c>
      <c r="T5" s="4"/>
    </row>
    <row r="6" spans="1:20" x14ac:dyDescent="0.25">
      <c r="A6" s="9" t="s">
        <v>78</v>
      </c>
      <c r="B6" s="9" t="s">
        <v>78</v>
      </c>
      <c r="C6" s="1" t="s">
        <v>42</v>
      </c>
      <c r="D6" s="1" t="s">
        <v>27</v>
      </c>
      <c r="E6" s="3">
        <f>COUNTIF(Tabelle8.Runde6891011[[#This Row],[1.Rd]:[9.Rd]],"&gt;399,9")</f>
        <v>2</v>
      </c>
      <c r="F6" s="1">
        <v>6</v>
      </c>
      <c r="G6" s="1">
        <f>COUNT(Tabelle8.Runde6891011[[#This Row],[1.Rd]:[9.Rd]])</f>
        <v>9</v>
      </c>
      <c r="H6" s="2">
        <v>395.8</v>
      </c>
      <c r="I6" s="1"/>
      <c r="J6" s="6">
        <v>397.6</v>
      </c>
      <c r="K6" s="2">
        <v>396.9</v>
      </c>
      <c r="L6" s="2">
        <v>395</v>
      </c>
      <c r="M6" s="2">
        <v>391.9</v>
      </c>
      <c r="N6" s="2">
        <v>393.2</v>
      </c>
      <c r="O6" s="2">
        <v>391.1</v>
      </c>
      <c r="P6" s="2">
        <v>393.7</v>
      </c>
      <c r="Q6" s="2">
        <v>402.4</v>
      </c>
      <c r="R6" s="2">
        <v>400.1</v>
      </c>
      <c r="S6" s="2">
        <f>AVERAGE(Tabelle8.Runde6891011[[#This Row],[1.Rd]:[9.Rd]])</f>
        <v>395.76666666666665</v>
      </c>
      <c r="T6" s="4"/>
    </row>
    <row r="7" spans="1:20" x14ac:dyDescent="0.25">
      <c r="A7" s="9" t="s">
        <v>79</v>
      </c>
      <c r="B7" s="9" t="s">
        <v>77</v>
      </c>
      <c r="C7" s="1" t="s">
        <v>51</v>
      </c>
      <c r="D7" s="1" t="s">
        <v>25</v>
      </c>
      <c r="E7" s="3">
        <f>COUNTIF(Tabelle8.Runde6891011[[#This Row],[1.Rd]:[9.Rd]],"&gt;399,9")</f>
        <v>6</v>
      </c>
      <c r="F7" s="1">
        <v>6</v>
      </c>
      <c r="G7" s="1">
        <f>COUNT(Tabelle8.Runde6891011[[#This Row],[1.Rd]:[9.Rd]])</f>
        <v>8</v>
      </c>
      <c r="H7" s="2">
        <v>405.2</v>
      </c>
      <c r="I7" s="1"/>
      <c r="J7" s="6">
        <v>409.9</v>
      </c>
      <c r="K7" s="2">
        <v>409.1</v>
      </c>
      <c r="L7" s="2">
        <v>404.4</v>
      </c>
      <c r="M7" s="2">
        <v>406</v>
      </c>
      <c r="N7" s="2">
        <v>406.2</v>
      </c>
      <c r="O7" s="2">
        <v>408.5</v>
      </c>
      <c r="P7" s="2">
        <v>398.6</v>
      </c>
      <c r="Q7" s="2">
        <v>399.2</v>
      </c>
      <c r="R7" s="2"/>
      <c r="S7" s="2">
        <f>AVERAGE(Tabelle8.Runde6891011[[#This Row],[1.Rd]:[9.Rd]])</f>
        <v>405.23750000000001</v>
      </c>
      <c r="T7" s="4"/>
    </row>
    <row r="8" spans="1:20" x14ac:dyDescent="0.25">
      <c r="A8" s="9" t="s">
        <v>80</v>
      </c>
      <c r="B8" s="9" t="s">
        <v>82</v>
      </c>
      <c r="C8" s="1" t="s">
        <v>37</v>
      </c>
      <c r="D8" s="1" t="s">
        <v>26</v>
      </c>
      <c r="E8" s="3">
        <f>COUNTIF(Tabelle8.Runde6891011[[#This Row],[1.Rd]:[9.Rd]],"&gt;399,9")</f>
        <v>1</v>
      </c>
      <c r="F8" s="1">
        <v>5</v>
      </c>
      <c r="G8" s="1">
        <f>COUNT(Tabelle8.Runde6891011[[#This Row],[1.Rd]:[9.Rd]])</f>
        <v>9</v>
      </c>
      <c r="H8" s="2">
        <v>397.9</v>
      </c>
      <c r="I8" s="1"/>
      <c r="J8" s="6">
        <v>397</v>
      </c>
      <c r="K8" s="2">
        <v>397.9</v>
      </c>
      <c r="L8" s="2">
        <v>396.9</v>
      </c>
      <c r="M8" s="2">
        <v>397.5</v>
      </c>
      <c r="N8" s="2">
        <v>396.2</v>
      </c>
      <c r="O8" s="2">
        <v>397.3</v>
      </c>
      <c r="P8" s="2">
        <v>395.1</v>
      </c>
      <c r="Q8" s="2">
        <v>398</v>
      </c>
      <c r="R8" s="2">
        <v>405.2</v>
      </c>
      <c r="S8" s="2">
        <f>AVERAGE(Tabelle8.Runde6891011[[#This Row],[1.Rd]:[9.Rd]])</f>
        <v>397.9</v>
      </c>
      <c r="T8" s="4"/>
    </row>
    <row r="9" spans="1:20" x14ac:dyDescent="0.25">
      <c r="A9" s="9" t="s">
        <v>81</v>
      </c>
      <c r="B9" s="9" t="s">
        <v>84</v>
      </c>
      <c r="C9" s="1" t="s">
        <v>39</v>
      </c>
      <c r="D9" s="1" t="s">
        <v>23</v>
      </c>
      <c r="E9" s="3">
        <f>COUNTIF(Tabelle8.Runde6891011[[#This Row],[1.Rd]:[9.Rd]],"&gt;399,9")</f>
        <v>0</v>
      </c>
      <c r="F9" s="1">
        <v>5</v>
      </c>
      <c r="G9" s="1">
        <f>COUNT(Tabelle8.Runde6891011[[#This Row],[1.Rd]:[9.Rd]])</f>
        <v>9</v>
      </c>
      <c r="H9" s="6">
        <v>391.7</v>
      </c>
      <c r="I9" s="1"/>
      <c r="J9" s="6">
        <v>397.2</v>
      </c>
      <c r="K9" s="2">
        <v>398.7</v>
      </c>
      <c r="L9" s="2">
        <v>393.8</v>
      </c>
      <c r="M9" s="2">
        <v>377.4</v>
      </c>
      <c r="N9" s="2">
        <v>392.9</v>
      </c>
      <c r="O9" s="2">
        <v>394.5</v>
      </c>
      <c r="P9" s="2">
        <v>389.4</v>
      </c>
      <c r="Q9" s="2">
        <v>393.3</v>
      </c>
      <c r="R9" s="2">
        <v>388.2</v>
      </c>
      <c r="S9" s="2">
        <f>AVERAGE(Tabelle8.Runde6891011[[#This Row],[1.Rd]:[9.Rd]])</f>
        <v>391.71111111111111</v>
      </c>
      <c r="T9" s="4"/>
    </row>
    <row r="10" spans="1:20" x14ac:dyDescent="0.25">
      <c r="A10" s="9" t="s">
        <v>82</v>
      </c>
      <c r="B10" s="9" t="s">
        <v>87</v>
      </c>
      <c r="C10" s="1" t="s">
        <v>76</v>
      </c>
      <c r="D10" s="1" t="s">
        <v>21</v>
      </c>
      <c r="E10" s="3">
        <f>COUNTIF(Tabelle8.Runde6891011[[#This Row],[1.Rd]:[9.Rd]],"&gt;399,9")</f>
        <v>5</v>
      </c>
      <c r="F10" s="1">
        <v>5</v>
      </c>
      <c r="G10" s="1">
        <f>COUNT(Tabelle8.Runde6891011[[#This Row],[1.Rd]:[9.Rd]])</f>
        <v>7</v>
      </c>
      <c r="H10" s="6">
        <v>402.4</v>
      </c>
      <c r="I10" s="1"/>
      <c r="J10" s="6">
        <v>395.1</v>
      </c>
      <c r="K10" s="2"/>
      <c r="L10" s="2"/>
      <c r="M10" s="2">
        <v>401.9</v>
      </c>
      <c r="N10" s="2">
        <v>404.1</v>
      </c>
      <c r="O10" s="2">
        <v>400.1</v>
      </c>
      <c r="P10" s="2">
        <v>396.7</v>
      </c>
      <c r="Q10" s="2">
        <v>407.2</v>
      </c>
      <c r="R10" s="2">
        <v>411.5</v>
      </c>
      <c r="S10" s="2">
        <f>AVERAGE(Tabelle8.Runde6891011[[#This Row],[1.Rd]:[9.Rd]])</f>
        <v>402.37142857142857</v>
      </c>
      <c r="T10" s="4"/>
    </row>
    <row r="11" spans="1:20" x14ac:dyDescent="0.25">
      <c r="A11" s="9" t="s">
        <v>83</v>
      </c>
      <c r="B11" s="9" t="s">
        <v>80</v>
      </c>
      <c r="C11" s="1" t="s">
        <v>54</v>
      </c>
      <c r="D11" s="1" t="s">
        <v>20</v>
      </c>
      <c r="E11" s="3">
        <f>COUNTIF(Tabelle8.Runde6891011[[#This Row],[1.Rd]:[9.Rd]],"&gt;399,9")</f>
        <v>5</v>
      </c>
      <c r="F11" s="1">
        <v>5</v>
      </c>
      <c r="G11" s="1">
        <f>COUNT(Tabelle8.Runde6891011[[#This Row],[1.Rd]:[9.Rd]])</f>
        <v>7</v>
      </c>
      <c r="H11" s="2">
        <v>402.3</v>
      </c>
      <c r="I11" s="1"/>
      <c r="J11" s="6">
        <v>395.1</v>
      </c>
      <c r="K11" s="2">
        <v>388</v>
      </c>
      <c r="L11" s="2">
        <v>400.9</v>
      </c>
      <c r="M11" s="2">
        <v>408.9</v>
      </c>
      <c r="N11" s="2">
        <v>405.1</v>
      </c>
      <c r="O11" s="2"/>
      <c r="P11" s="2">
        <v>409.4</v>
      </c>
      <c r="Q11" s="2">
        <v>408.4</v>
      </c>
      <c r="R11" s="2"/>
      <c r="S11" s="2">
        <f>AVERAGE(Tabelle8.Runde6891011[[#This Row],[1.Rd]:[9.Rd]])</f>
        <v>402.25714285714287</v>
      </c>
      <c r="T11" s="4"/>
    </row>
    <row r="12" spans="1:20" x14ac:dyDescent="0.25">
      <c r="A12" s="9" t="s">
        <v>84</v>
      </c>
      <c r="B12" s="9" t="s">
        <v>88</v>
      </c>
      <c r="C12" s="1" t="s">
        <v>30</v>
      </c>
      <c r="D12" s="1" t="s">
        <v>24</v>
      </c>
      <c r="E12" s="3">
        <f>COUNTIF(Tabelle8.Runde6891011[[#This Row],[1.Rd]:[9.Rd]],"&gt;399,9")</f>
        <v>6</v>
      </c>
      <c r="F12" s="1">
        <v>5</v>
      </c>
      <c r="G12" s="1">
        <f>COUNT(Tabelle8.Runde6891011[[#This Row],[1.Rd]:[9.Rd]])</f>
        <v>7</v>
      </c>
      <c r="H12" s="2">
        <v>392.1</v>
      </c>
      <c r="I12" s="1"/>
      <c r="J12" s="6">
        <v>305.2</v>
      </c>
      <c r="K12" s="2">
        <v>402.8</v>
      </c>
      <c r="L12" s="2">
        <v>408.9</v>
      </c>
      <c r="M12" s="2">
        <v>400.4</v>
      </c>
      <c r="N12" s="2">
        <v>406.6</v>
      </c>
      <c r="O12" s="2">
        <v>411.7</v>
      </c>
      <c r="P12" s="2"/>
      <c r="Q12" s="2"/>
      <c r="R12" s="2">
        <v>409.3</v>
      </c>
      <c r="S12" s="2">
        <f>AVERAGE(Tabelle8.Runde6891011[[#This Row],[1.Rd]:[9.Rd]])</f>
        <v>392.12857142857143</v>
      </c>
      <c r="T12" s="4"/>
    </row>
    <row r="13" spans="1:20" x14ac:dyDescent="0.25">
      <c r="A13" s="9" t="s">
        <v>85</v>
      </c>
      <c r="B13" s="9" t="s">
        <v>89</v>
      </c>
      <c r="C13" s="1" t="s">
        <v>66</v>
      </c>
      <c r="D13" s="1" t="s">
        <v>23</v>
      </c>
      <c r="E13" s="3">
        <f>COUNTIF(Tabelle8.Runde6891011[[#This Row],[1.Rd]:[9.Rd]],"&gt;399,9")</f>
        <v>4</v>
      </c>
      <c r="F13" s="1">
        <v>5</v>
      </c>
      <c r="G13" s="1">
        <f>COUNT(Tabelle8.Runde6891011[[#This Row],[1.Rd]:[9.Rd]])</f>
        <v>6</v>
      </c>
      <c r="H13" s="2">
        <v>402.4</v>
      </c>
      <c r="I13" s="1"/>
      <c r="J13" s="2"/>
      <c r="K13" s="2">
        <v>407.2</v>
      </c>
      <c r="L13" s="2">
        <v>403.6</v>
      </c>
      <c r="M13" s="2">
        <v>402.1</v>
      </c>
      <c r="N13" s="2"/>
      <c r="O13" s="2"/>
      <c r="P13" s="2">
        <v>404.3</v>
      </c>
      <c r="Q13" s="2">
        <v>398.5</v>
      </c>
      <c r="R13" s="2">
        <v>398.7</v>
      </c>
      <c r="S13" s="2">
        <f>AVERAGE(Tabelle8.Runde6891011[[#This Row],[1.Rd]:[9.Rd]])</f>
        <v>402.40000000000003</v>
      </c>
      <c r="T13" s="4"/>
    </row>
    <row r="14" spans="1:20" x14ac:dyDescent="0.25">
      <c r="A14" s="9" t="s">
        <v>86</v>
      </c>
      <c r="B14" s="9" t="s">
        <v>81</v>
      </c>
      <c r="C14" s="1" t="s">
        <v>48</v>
      </c>
      <c r="D14" s="1" t="s">
        <v>29</v>
      </c>
      <c r="E14" s="3">
        <f>COUNTIF(Tabelle8.Runde6891011[[#This Row],[1.Rd]:[9.Rd]],"&gt;399,9")</f>
        <v>1</v>
      </c>
      <c r="F14" s="1">
        <v>4</v>
      </c>
      <c r="G14" s="1">
        <f>COUNT(Tabelle8.Runde6891011[[#This Row],[1.Rd]:[9.Rd]])</f>
        <v>9</v>
      </c>
      <c r="H14" s="6">
        <v>398.6</v>
      </c>
      <c r="I14" s="1"/>
      <c r="J14" s="6">
        <v>397.2</v>
      </c>
      <c r="K14" s="2">
        <v>398.6</v>
      </c>
      <c r="L14" s="2">
        <v>399.6</v>
      </c>
      <c r="M14" s="2">
        <v>398.2</v>
      </c>
      <c r="N14" s="2">
        <v>398.8</v>
      </c>
      <c r="O14" s="2">
        <v>406.3</v>
      </c>
      <c r="P14" s="2">
        <v>396.4</v>
      </c>
      <c r="Q14" s="2">
        <v>393.5</v>
      </c>
      <c r="R14" s="2">
        <v>399.1</v>
      </c>
      <c r="S14" s="2">
        <f>AVERAGE(Tabelle8.Runde6891011[[#This Row],[1.Rd]:[9.Rd]])</f>
        <v>398.63333333333338</v>
      </c>
      <c r="T14" s="4"/>
    </row>
    <row r="15" spans="1:20" x14ac:dyDescent="0.25">
      <c r="A15" s="9" t="s">
        <v>87</v>
      </c>
      <c r="B15" s="9" t="s">
        <v>83</v>
      </c>
      <c r="C15" s="1" t="s">
        <v>34</v>
      </c>
      <c r="D15" s="1" t="s">
        <v>28</v>
      </c>
      <c r="E15" s="3">
        <f>COUNTIF(Tabelle8.Runde6891011[[#This Row],[1.Rd]:[9.Rd]],"&gt;399,9")</f>
        <v>0</v>
      </c>
      <c r="F15" s="1">
        <v>4</v>
      </c>
      <c r="G15" s="1">
        <f>COUNT(Tabelle8.Runde6891011[[#This Row],[1.Rd]:[9.Rd]])</f>
        <v>9</v>
      </c>
      <c r="H15" s="2">
        <v>392.6</v>
      </c>
      <c r="I15" s="1"/>
      <c r="J15" s="6">
        <v>390.5</v>
      </c>
      <c r="K15" s="2">
        <v>387.3</v>
      </c>
      <c r="L15" s="2">
        <v>388.8</v>
      </c>
      <c r="M15" s="2">
        <v>392.2</v>
      </c>
      <c r="N15" s="2">
        <v>399.8</v>
      </c>
      <c r="O15" s="2">
        <v>396.1</v>
      </c>
      <c r="P15" s="2">
        <v>395.1</v>
      </c>
      <c r="Q15" s="2">
        <v>395.9</v>
      </c>
      <c r="R15" s="2">
        <v>387.6</v>
      </c>
      <c r="S15" s="2">
        <f>AVERAGE(Tabelle8.Runde6891011[[#This Row],[1.Rd]:[9.Rd]])</f>
        <v>392.58888888888885</v>
      </c>
      <c r="T15" s="4"/>
    </row>
    <row r="16" spans="1:20" x14ac:dyDescent="0.25">
      <c r="A16" s="9" t="s">
        <v>88</v>
      </c>
      <c r="B16" s="9" t="s">
        <v>85</v>
      </c>
      <c r="C16" s="1" t="s">
        <v>40</v>
      </c>
      <c r="D16" s="1" t="s">
        <v>23</v>
      </c>
      <c r="E16" s="3">
        <f>COUNTIF(Tabelle8.Runde6891011[[#This Row],[1.Rd]:[9.Rd]],"&gt;399,9")</f>
        <v>0</v>
      </c>
      <c r="F16" s="1">
        <v>4</v>
      </c>
      <c r="G16" s="1">
        <f>COUNT(Tabelle8.Runde6891011[[#This Row],[1.Rd]:[9.Rd]])</f>
        <v>9</v>
      </c>
      <c r="H16" s="6">
        <v>391.5</v>
      </c>
      <c r="I16" s="1"/>
      <c r="J16" s="6">
        <v>391.5</v>
      </c>
      <c r="K16" s="2">
        <v>394.9</v>
      </c>
      <c r="L16" s="2">
        <v>396.8</v>
      </c>
      <c r="M16" s="2">
        <v>386.1</v>
      </c>
      <c r="N16" s="2">
        <v>388.5</v>
      </c>
      <c r="O16" s="2">
        <v>393.3</v>
      </c>
      <c r="P16" s="2">
        <v>385.6</v>
      </c>
      <c r="Q16" s="2">
        <v>392.4</v>
      </c>
      <c r="R16" s="2">
        <v>394.7</v>
      </c>
      <c r="S16" s="2">
        <f>AVERAGE(Tabelle8.Runde6891011[[#This Row],[1.Rd]:[9.Rd]])</f>
        <v>391.53333333333336</v>
      </c>
      <c r="T16" s="4"/>
    </row>
    <row r="17" spans="1:20" x14ac:dyDescent="0.25">
      <c r="A17" s="9" t="s">
        <v>89</v>
      </c>
      <c r="B17" s="9" t="s">
        <v>86</v>
      </c>
      <c r="C17" s="1" t="s">
        <v>55</v>
      </c>
      <c r="D17" s="1" t="s">
        <v>20</v>
      </c>
      <c r="E17" s="3">
        <f>COUNTIF(Tabelle8.Runde6891011[[#This Row],[1.Rd]:[9.Rd]],"&gt;399,9")</f>
        <v>6</v>
      </c>
      <c r="F17" s="1">
        <v>4</v>
      </c>
      <c r="G17" s="1">
        <f>COUNT(Tabelle8.Runde6891011[[#This Row],[1.Rd]:[9.Rd]])</f>
        <v>7</v>
      </c>
      <c r="H17" s="2">
        <v>403</v>
      </c>
      <c r="I17" s="1"/>
      <c r="J17" s="6">
        <v>406.4</v>
      </c>
      <c r="K17" s="2">
        <v>401.5</v>
      </c>
      <c r="L17" s="2"/>
      <c r="M17" s="2">
        <v>407.7</v>
      </c>
      <c r="N17" s="2">
        <v>402.3</v>
      </c>
      <c r="O17" s="2">
        <v>402.9</v>
      </c>
      <c r="P17" s="2"/>
      <c r="Q17" s="2">
        <v>401.4</v>
      </c>
      <c r="R17" s="2">
        <v>398.6</v>
      </c>
      <c r="S17" s="2">
        <f>AVERAGE(Tabelle8.Runde6891011[[#This Row],[1.Rd]:[9.Rd]])</f>
        <v>402.97142857142853</v>
      </c>
      <c r="T17" s="4"/>
    </row>
    <row r="18" spans="1:20" x14ac:dyDescent="0.25">
      <c r="A18" s="9" t="s">
        <v>90</v>
      </c>
      <c r="B18" s="9" t="s">
        <v>95</v>
      </c>
      <c r="C18" s="1" t="s">
        <v>31</v>
      </c>
      <c r="D18" s="1" t="s">
        <v>24</v>
      </c>
      <c r="E18" s="3">
        <f>COUNTIF(Tabelle8.Runde6891011[[#This Row],[1.Rd]:[9.Rd]],"&gt;399,9")</f>
        <v>0</v>
      </c>
      <c r="F18" s="1">
        <v>4</v>
      </c>
      <c r="G18" s="1">
        <f>COUNT(Tabelle8.Runde6891011[[#This Row],[1.Rd]:[9.Rd]])</f>
        <v>7</v>
      </c>
      <c r="H18" s="6">
        <v>390.2</v>
      </c>
      <c r="I18" s="1"/>
      <c r="J18" s="6">
        <v>380.4</v>
      </c>
      <c r="K18" s="2"/>
      <c r="L18" s="2"/>
      <c r="M18" s="2">
        <v>389.9</v>
      </c>
      <c r="N18" s="2">
        <v>390.8</v>
      </c>
      <c r="O18" s="2">
        <v>392.9</v>
      </c>
      <c r="P18" s="2">
        <v>389.1</v>
      </c>
      <c r="Q18" s="2">
        <v>390.6</v>
      </c>
      <c r="R18" s="2">
        <v>397.4</v>
      </c>
      <c r="S18" s="2">
        <f>AVERAGE(Tabelle8.Runde6891011[[#This Row],[1.Rd]:[9.Rd]])</f>
        <v>390.15714285714284</v>
      </c>
      <c r="T18" s="4"/>
    </row>
    <row r="19" spans="1:20" x14ac:dyDescent="0.25">
      <c r="A19" s="9" t="s">
        <v>91</v>
      </c>
      <c r="B19" s="9" t="s">
        <v>90</v>
      </c>
      <c r="C19" s="1" t="s">
        <v>65</v>
      </c>
      <c r="D19" s="1" t="s">
        <v>27</v>
      </c>
      <c r="E19" s="3">
        <f>COUNTIF(Tabelle8.Runde6891011[[#This Row],[1.Rd]:[9.Rd]],"&gt;399,9")</f>
        <v>1</v>
      </c>
      <c r="F19" s="1">
        <v>4</v>
      </c>
      <c r="G19" s="1">
        <f>COUNT(Tabelle8.Runde6891011[[#This Row],[1.Rd]:[9.Rd]])</f>
        <v>5</v>
      </c>
      <c r="H19" s="2">
        <v>395.5</v>
      </c>
      <c r="I19" s="1"/>
      <c r="J19" s="2"/>
      <c r="K19" s="2">
        <v>392</v>
      </c>
      <c r="L19" s="2">
        <v>398.7</v>
      </c>
      <c r="M19" s="2">
        <v>394.5</v>
      </c>
      <c r="N19" s="2"/>
      <c r="O19" s="2"/>
      <c r="P19" s="2"/>
      <c r="Q19" s="2">
        <v>400.2</v>
      </c>
      <c r="R19" s="2">
        <v>392</v>
      </c>
      <c r="S19" s="2">
        <f>AVERAGE(Tabelle8.Runde6891011[[#This Row],[1.Rd]:[9.Rd]])</f>
        <v>395.48</v>
      </c>
      <c r="T19" s="4"/>
    </row>
    <row r="20" spans="1:20" x14ac:dyDescent="0.25">
      <c r="A20" s="9" t="s">
        <v>92</v>
      </c>
      <c r="B20" s="9" t="s">
        <v>91</v>
      </c>
      <c r="C20" s="1" t="s">
        <v>35</v>
      </c>
      <c r="D20" s="1" t="s">
        <v>28</v>
      </c>
      <c r="E20" s="3">
        <f>COUNTIF(Tabelle8.Runde6891011[[#This Row],[1.Rd]:[9.Rd]],"&gt;399,9")</f>
        <v>0</v>
      </c>
      <c r="F20" s="1">
        <v>3</v>
      </c>
      <c r="G20" s="1">
        <f>COUNT(Tabelle8.Runde6891011[[#This Row],[1.Rd]:[9.Rd]])</f>
        <v>9</v>
      </c>
      <c r="H20" s="2">
        <v>387.9</v>
      </c>
      <c r="I20" s="1"/>
      <c r="J20" s="6">
        <v>389.5</v>
      </c>
      <c r="K20" s="2">
        <v>383.9</v>
      </c>
      <c r="L20" s="2">
        <v>382.7</v>
      </c>
      <c r="M20" s="2">
        <v>389.3</v>
      </c>
      <c r="N20" s="2">
        <v>390.5</v>
      </c>
      <c r="O20" s="2">
        <v>393.7</v>
      </c>
      <c r="P20" s="2">
        <v>385.5</v>
      </c>
      <c r="Q20" s="2">
        <v>384.3</v>
      </c>
      <c r="R20" s="2">
        <v>391.5</v>
      </c>
      <c r="S20" s="2">
        <f>AVERAGE(Tabelle8.Runde6891011[[#This Row],[1.Rd]:[9.Rd]])</f>
        <v>387.87777777777779</v>
      </c>
      <c r="T20" s="4"/>
    </row>
    <row r="21" spans="1:20" x14ac:dyDescent="0.25">
      <c r="A21" s="9" t="s">
        <v>93</v>
      </c>
      <c r="B21" s="9" t="s">
        <v>92</v>
      </c>
      <c r="C21" s="1" t="s">
        <v>47</v>
      </c>
      <c r="D21" s="1" t="s">
        <v>22</v>
      </c>
      <c r="E21" s="3">
        <f>COUNTIF(Tabelle8.Runde6891011[[#This Row],[1.Rd]:[9.Rd]],"&gt;399,9")</f>
        <v>0</v>
      </c>
      <c r="F21" s="1">
        <v>3</v>
      </c>
      <c r="G21" s="1">
        <f>COUNT(Tabelle8.Runde6891011[[#This Row],[1.Rd]:[9.Rd]])</f>
        <v>9</v>
      </c>
      <c r="H21" s="2">
        <v>381.8</v>
      </c>
      <c r="I21" s="1"/>
      <c r="J21" s="6">
        <v>375.7</v>
      </c>
      <c r="K21" s="2">
        <v>377.4</v>
      </c>
      <c r="L21" s="2">
        <v>392.6</v>
      </c>
      <c r="M21" s="2">
        <v>385.5</v>
      </c>
      <c r="N21" s="2">
        <v>376.1</v>
      </c>
      <c r="O21" s="2">
        <v>376.7</v>
      </c>
      <c r="P21" s="2">
        <v>385.3</v>
      </c>
      <c r="Q21" s="2">
        <v>391.8</v>
      </c>
      <c r="R21" s="2">
        <v>375.2</v>
      </c>
      <c r="S21" s="2">
        <f>AVERAGE(Tabelle8.Runde6891011[[#This Row],[1.Rd]:[9.Rd]])</f>
        <v>381.81111111111107</v>
      </c>
      <c r="T21" s="4"/>
    </row>
    <row r="22" spans="1:20" x14ac:dyDescent="0.25">
      <c r="A22" s="9" t="s">
        <v>94</v>
      </c>
      <c r="B22" s="9" t="s">
        <v>94</v>
      </c>
      <c r="C22" s="1" t="s">
        <v>43</v>
      </c>
      <c r="D22" s="1" t="s">
        <v>27</v>
      </c>
      <c r="E22" s="3">
        <f>COUNTIF(Tabelle8.Runde6891011[[#This Row],[1.Rd]:[9.Rd]],"&gt;399,9")</f>
        <v>4</v>
      </c>
      <c r="F22" s="1">
        <v>3</v>
      </c>
      <c r="G22" s="1">
        <f>COUNT(Tabelle8.Runde6891011[[#This Row],[1.Rd]:[9.Rd]])</f>
        <v>7</v>
      </c>
      <c r="H22" s="6">
        <v>399.2</v>
      </c>
      <c r="I22" s="1"/>
      <c r="J22" s="6">
        <v>408.2</v>
      </c>
      <c r="K22" s="2"/>
      <c r="L22" s="2"/>
      <c r="M22" s="2">
        <v>396</v>
      </c>
      <c r="N22" s="2">
        <v>390.1</v>
      </c>
      <c r="O22" s="2">
        <v>401.6</v>
      </c>
      <c r="P22" s="2">
        <v>394.4</v>
      </c>
      <c r="Q22" s="2">
        <v>401.3</v>
      </c>
      <c r="R22" s="2">
        <v>402.6</v>
      </c>
      <c r="S22" s="2">
        <f>AVERAGE(Tabelle8.Runde6891011[[#This Row],[1.Rd]:[9.Rd]])</f>
        <v>399.17142857142863</v>
      </c>
      <c r="T22" s="4"/>
    </row>
    <row r="23" spans="1:20" x14ac:dyDescent="0.25">
      <c r="A23" s="9" t="s">
        <v>95</v>
      </c>
      <c r="B23" s="9" t="s">
        <v>93</v>
      </c>
      <c r="C23" s="1" t="s">
        <v>68</v>
      </c>
      <c r="D23" s="1" t="s">
        <v>29</v>
      </c>
      <c r="E23" s="3">
        <f>COUNTIF(Tabelle8.Runde6891011[[#This Row],[1.Rd]:[9.Rd]],"&gt;399,9")</f>
        <v>0</v>
      </c>
      <c r="F23" s="1">
        <v>3</v>
      </c>
      <c r="G23" s="1">
        <f>COUNT(Tabelle8.Runde6891011[[#This Row],[1.Rd]:[9.Rd]])</f>
        <v>7</v>
      </c>
      <c r="H23" s="2">
        <v>388.5</v>
      </c>
      <c r="I23" s="1"/>
      <c r="J23" s="2"/>
      <c r="K23" s="2">
        <v>391.7</v>
      </c>
      <c r="L23" s="2">
        <v>387.5</v>
      </c>
      <c r="M23" s="2">
        <v>383.3</v>
      </c>
      <c r="N23" s="2">
        <v>391.8</v>
      </c>
      <c r="O23" s="2">
        <v>381.3</v>
      </c>
      <c r="P23" s="2">
        <v>390.8</v>
      </c>
      <c r="Q23" s="2">
        <v>393.2</v>
      </c>
      <c r="R23" s="2"/>
      <c r="S23" s="2">
        <f>AVERAGE(Tabelle8.Runde6891011[[#This Row],[1.Rd]:[9.Rd]])</f>
        <v>388.51428571428568</v>
      </c>
      <c r="T23" s="4"/>
    </row>
    <row r="24" spans="1:20" x14ac:dyDescent="0.25">
      <c r="A24" s="9" t="s">
        <v>96</v>
      </c>
      <c r="B24" s="9" t="s">
        <v>96</v>
      </c>
      <c r="C24" s="1" t="s">
        <v>36</v>
      </c>
      <c r="D24" s="1" t="s">
        <v>26</v>
      </c>
      <c r="E24" s="3">
        <f>COUNTIF(Tabelle8.Runde6891011[[#This Row],[1.Rd]:[9.Rd]],"&gt;399,9")</f>
        <v>3</v>
      </c>
      <c r="F24" s="1">
        <v>3</v>
      </c>
      <c r="G24" s="1">
        <f>COUNT(Tabelle8.Runde6891011[[#This Row],[1.Rd]:[9.Rd]])</f>
        <v>6</v>
      </c>
      <c r="H24" s="2">
        <v>402</v>
      </c>
      <c r="I24" s="1"/>
      <c r="J24" s="6">
        <v>405.8</v>
      </c>
      <c r="K24" s="2">
        <v>398.9</v>
      </c>
      <c r="L24" s="2">
        <v>398.2</v>
      </c>
      <c r="M24" s="2"/>
      <c r="N24" s="2">
        <v>403.1</v>
      </c>
      <c r="O24" s="2">
        <v>407.3</v>
      </c>
      <c r="P24" s="2"/>
      <c r="Q24" s="2"/>
      <c r="R24" s="2">
        <v>398.7</v>
      </c>
      <c r="S24" s="2">
        <f>AVERAGE(Tabelle8.Runde6891011[[#This Row],[1.Rd]:[9.Rd]])</f>
        <v>402</v>
      </c>
      <c r="T24" s="4"/>
    </row>
    <row r="25" spans="1:20" x14ac:dyDescent="0.25">
      <c r="A25" s="9" t="s">
        <v>97</v>
      </c>
      <c r="B25" s="9" t="s">
        <v>97</v>
      </c>
      <c r="C25" s="1" t="s">
        <v>56</v>
      </c>
      <c r="D25" s="1" t="s">
        <v>20</v>
      </c>
      <c r="E25" s="3">
        <f>COUNTIF(Tabelle8.Runde6891011[[#This Row],[1.Rd]:[9.Rd]],"&gt;399,9")</f>
        <v>0</v>
      </c>
      <c r="F25" s="1">
        <v>2</v>
      </c>
      <c r="G25" s="1">
        <f>COUNT(Tabelle8.Runde6891011[[#This Row],[1.Rd]:[9.Rd]])</f>
        <v>8</v>
      </c>
      <c r="H25" s="2">
        <v>389.5</v>
      </c>
      <c r="I25" s="1"/>
      <c r="J25" s="6">
        <v>392.3</v>
      </c>
      <c r="K25" s="2">
        <v>398.8</v>
      </c>
      <c r="L25" s="2">
        <v>390</v>
      </c>
      <c r="M25" s="2">
        <v>391.8</v>
      </c>
      <c r="N25" s="2"/>
      <c r="O25" s="2">
        <v>381.4</v>
      </c>
      <c r="P25" s="2">
        <v>396.1</v>
      </c>
      <c r="Q25" s="2">
        <v>393.1</v>
      </c>
      <c r="R25" s="2">
        <v>372.4</v>
      </c>
      <c r="S25" s="2">
        <f>AVERAGE(Tabelle8.Runde6891011[[#This Row],[1.Rd]:[9.Rd]])</f>
        <v>389.48749999999995</v>
      </c>
      <c r="T25" s="4"/>
    </row>
    <row r="26" spans="1:20" x14ac:dyDescent="0.25">
      <c r="A26" s="9" t="s">
        <v>98</v>
      </c>
      <c r="B26" s="9" t="s">
        <v>99</v>
      </c>
      <c r="C26" s="1" t="s">
        <v>60</v>
      </c>
      <c r="D26" s="1" t="s">
        <v>22</v>
      </c>
      <c r="E26" s="3">
        <f>COUNTIF(Tabelle8.Runde6891011[[#This Row],[1.Rd]:[9.Rd]],"&gt;399,9")</f>
        <v>0</v>
      </c>
      <c r="F26" s="1">
        <v>2</v>
      </c>
      <c r="G26" s="1">
        <f>COUNT(Tabelle8.Runde6891011[[#This Row],[1.Rd]:[9.Rd]])</f>
        <v>7</v>
      </c>
      <c r="H26" s="2">
        <v>383.5</v>
      </c>
      <c r="I26" s="1"/>
      <c r="J26" s="2"/>
      <c r="K26" s="2">
        <v>378.9</v>
      </c>
      <c r="L26" s="2">
        <v>392.8</v>
      </c>
      <c r="M26" s="2"/>
      <c r="N26" s="2">
        <v>380.8</v>
      </c>
      <c r="O26" s="2">
        <v>376.7</v>
      </c>
      <c r="P26" s="2">
        <v>384.8</v>
      </c>
      <c r="Q26" s="2">
        <v>391.1</v>
      </c>
      <c r="R26" s="2">
        <v>379.7</v>
      </c>
      <c r="S26" s="2">
        <f>AVERAGE(Tabelle8.Runde6891011[[#This Row],[1.Rd]:[9.Rd]])</f>
        <v>383.54285714285709</v>
      </c>
      <c r="T26" s="4"/>
    </row>
    <row r="27" spans="1:20" x14ac:dyDescent="0.25">
      <c r="A27" s="9" t="s">
        <v>99</v>
      </c>
      <c r="B27" s="9" t="s">
        <v>100</v>
      </c>
      <c r="C27" s="1" t="s">
        <v>64</v>
      </c>
      <c r="D27" s="1" t="s">
        <v>24</v>
      </c>
      <c r="E27" s="3">
        <f>COUNTIF(Tabelle8.Runde6891011[[#This Row],[1.Rd]:[9.Rd]],"&gt;399,9")</f>
        <v>0</v>
      </c>
      <c r="F27" s="1">
        <v>2</v>
      </c>
      <c r="G27" s="1">
        <f>COUNT(Tabelle8.Runde6891011[[#This Row],[1.Rd]:[9.Rd]])</f>
        <v>7</v>
      </c>
      <c r="H27" s="2">
        <v>378.1</v>
      </c>
      <c r="I27" s="1"/>
      <c r="J27" s="2"/>
      <c r="K27" s="2">
        <v>382</v>
      </c>
      <c r="L27" s="2">
        <v>389.4</v>
      </c>
      <c r="M27" s="2"/>
      <c r="N27" s="2">
        <v>374.7</v>
      </c>
      <c r="O27" s="2">
        <v>370.3</v>
      </c>
      <c r="P27" s="2">
        <v>373.1</v>
      </c>
      <c r="Q27" s="2">
        <v>378.3</v>
      </c>
      <c r="R27" s="2">
        <v>379.2</v>
      </c>
      <c r="S27" s="2">
        <f>AVERAGE(Tabelle8.Runde6891011[[#This Row],[1.Rd]:[9.Rd]])</f>
        <v>378.14285714285717</v>
      </c>
      <c r="T27" s="4"/>
    </row>
    <row r="28" spans="1:20" x14ac:dyDescent="0.25">
      <c r="A28" s="9" t="s">
        <v>100</v>
      </c>
      <c r="B28" s="9" t="s">
        <v>98</v>
      </c>
      <c r="C28" s="1" t="s">
        <v>44</v>
      </c>
      <c r="D28" s="1" t="s">
        <v>27</v>
      </c>
      <c r="E28" s="3">
        <f>COUNTIF(Tabelle8.Runde6891011[[#This Row],[1.Rd]:[9.Rd]],"&gt;399,9")</f>
        <v>1</v>
      </c>
      <c r="F28" s="1">
        <v>2</v>
      </c>
      <c r="G28" s="1">
        <f>COUNT(Tabelle8.Runde6891011[[#This Row],[1.Rd]:[9.Rd]])</f>
        <v>6</v>
      </c>
      <c r="H28" s="2">
        <v>397.3</v>
      </c>
      <c r="I28" s="1"/>
      <c r="J28" s="6">
        <v>401.1</v>
      </c>
      <c r="K28" s="2">
        <v>395.7</v>
      </c>
      <c r="L28" s="2">
        <v>399.5</v>
      </c>
      <c r="M28" s="2"/>
      <c r="N28" s="2">
        <v>394.5</v>
      </c>
      <c r="O28" s="2">
        <v>397</v>
      </c>
      <c r="P28" s="2">
        <v>396</v>
      </c>
      <c r="Q28" s="2"/>
      <c r="R28" s="2"/>
      <c r="S28" s="2">
        <f>AVERAGE(Tabelle8.Runde6891011[[#This Row],[1.Rd]:[9.Rd]])</f>
        <v>397.3</v>
      </c>
      <c r="T28" s="4"/>
    </row>
    <row r="29" spans="1:20" x14ac:dyDescent="0.25">
      <c r="A29" s="9" t="s">
        <v>101</v>
      </c>
      <c r="B29" s="9" t="s">
        <v>101</v>
      </c>
      <c r="C29" s="1" t="s">
        <v>67</v>
      </c>
      <c r="D29" s="1" t="s">
        <v>29</v>
      </c>
      <c r="E29" s="3">
        <f>COUNTIF(Tabelle8.Runde6891011[[#This Row],[1.Rd]:[9.Rd]],"&gt;399,9")</f>
        <v>3</v>
      </c>
      <c r="F29" s="1">
        <v>2</v>
      </c>
      <c r="G29" s="1">
        <f>COUNT(Tabelle8.Runde6891011[[#This Row],[1.Rd]:[9.Rd]])</f>
        <v>5</v>
      </c>
      <c r="H29" s="2">
        <v>401.8</v>
      </c>
      <c r="I29" s="1"/>
      <c r="J29" s="2"/>
      <c r="K29" s="2">
        <v>405.3</v>
      </c>
      <c r="L29" s="2">
        <v>405.3</v>
      </c>
      <c r="M29" s="2">
        <v>397.8</v>
      </c>
      <c r="N29" s="2">
        <v>397</v>
      </c>
      <c r="O29" s="2">
        <v>403.7</v>
      </c>
      <c r="P29" s="2"/>
      <c r="Q29" s="2"/>
      <c r="R29" s="2"/>
      <c r="S29" s="2">
        <f>AVERAGE(Tabelle8.Runde6891011[[#This Row],[1.Rd]:[9.Rd]])</f>
        <v>401.82000000000005</v>
      </c>
      <c r="T29" s="4"/>
    </row>
    <row r="30" spans="1:20" x14ac:dyDescent="0.25">
      <c r="A30" s="9" t="s">
        <v>102</v>
      </c>
      <c r="B30" s="9" t="s">
        <v>102</v>
      </c>
      <c r="C30" s="1" t="s">
        <v>75</v>
      </c>
      <c r="D30" s="1" t="s">
        <v>25</v>
      </c>
      <c r="E30" s="3">
        <f>COUNTIF(Tabelle8.Runde6891011[[#This Row],[1.Rd]:[9.Rd]],"&gt;399,9")</f>
        <v>1</v>
      </c>
      <c r="F30" s="1">
        <v>2</v>
      </c>
      <c r="G30" s="1">
        <f>COUNT(Tabelle8.Runde6891011[[#This Row],[1.Rd]:[9.Rd]])</f>
        <v>5</v>
      </c>
      <c r="H30" s="2">
        <v>394.9</v>
      </c>
      <c r="I30" s="1"/>
      <c r="J30" s="6">
        <v>401.2</v>
      </c>
      <c r="K30" s="2">
        <v>388.5</v>
      </c>
      <c r="L30" s="2">
        <v>394.5</v>
      </c>
      <c r="M30" s="2"/>
      <c r="N30" s="2">
        <v>394.2</v>
      </c>
      <c r="O30" s="2"/>
      <c r="P30" s="2"/>
      <c r="Q30" s="2"/>
      <c r="R30" s="2">
        <v>396.1</v>
      </c>
      <c r="S30" s="2">
        <f>AVERAGE(Tabelle8.Runde6891011[[#This Row],[1.Rd]:[9.Rd]])</f>
        <v>394.9</v>
      </c>
      <c r="T30" s="4"/>
    </row>
    <row r="31" spans="1:20" x14ac:dyDescent="0.25">
      <c r="A31" s="9" t="s">
        <v>103</v>
      </c>
      <c r="B31" s="9" t="s">
        <v>103</v>
      </c>
      <c r="C31" s="1" t="s">
        <v>63</v>
      </c>
      <c r="D31" s="1" t="s">
        <v>24</v>
      </c>
      <c r="E31" s="3">
        <f>COUNTIF(Tabelle8.Runde6891011[[#This Row],[1.Rd]:[9.Rd]],"&gt;399,9")</f>
        <v>2</v>
      </c>
      <c r="F31" s="1">
        <v>2</v>
      </c>
      <c r="G31" s="1">
        <f>COUNT(Tabelle8.Runde6891011[[#This Row],[1.Rd]:[9.Rd]])</f>
        <v>2</v>
      </c>
      <c r="H31" s="2">
        <v>416.9</v>
      </c>
      <c r="I31" s="1"/>
      <c r="J31" s="2"/>
      <c r="K31" s="2">
        <v>416.9</v>
      </c>
      <c r="L31" s="2">
        <v>416.9</v>
      </c>
      <c r="M31" s="2"/>
      <c r="N31" s="2"/>
      <c r="O31" s="2"/>
      <c r="P31" s="2"/>
      <c r="Q31" s="2"/>
      <c r="R31" s="2"/>
      <c r="S31" s="2">
        <f>AVERAGE(Tabelle8.Runde6891011[[#This Row],[1.Rd]:[9.Rd]])</f>
        <v>416.9</v>
      </c>
      <c r="T31" s="4"/>
    </row>
    <row r="32" spans="1:20" x14ac:dyDescent="0.25">
      <c r="A32" s="9" t="s">
        <v>104</v>
      </c>
      <c r="B32" s="9" t="s">
        <v>104</v>
      </c>
      <c r="C32" s="1" t="s">
        <v>33</v>
      </c>
      <c r="D32" s="1" t="s">
        <v>28</v>
      </c>
      <c r="E32" s="3">
        <f>COUNTIF(Tabelle8.Runde6891011[[#This Row],[1.Rd]:[9.Rd]],"&gt;399,9")</f>
        <v>1</v>
      </c>
      <c r="F32" s="1">
        <v>1</v>
      </c>
      <c r="G32" s="1">
        <f>COUNT(Tabelle8.Runde6891011[[#This Row],[1.Rd]:[9.Rd]])</f>
        <v>9</v>
      </c>
      <c r="H32" s="2">
        <v>394.4</v>
      </c>
      <c r="I32" s="1"/>
      <c r="J32" s="6">
        <v>400.8</v>
      </c>
      <c r="K32" s="2">
        <v>393.6</v>
      </c>
      <c r="L32" s="2">
        <v>396.5</v>
      </c>
      <c r="M32" s="2">
        <v>395.6</v>
      </c>
      <c r="N32" s="2">
        <v>381.5</v>
      </c>
      <c r="O32" s="2">
        <v>399.7</v>
      </c>
      <c r="P32" s="2">
        <v>392.3</v>
      </c>
      <c r="Q32" s="2">
        <v>391.5</v>
      </c>
      <c r="R32" s="2">
        <v>397.7</v>
      </c>
      <c r="S32" s="2">
        <f>AVERAGE(Tabelle8.Runde6891011[[#This Row],[1.Rd]:[9.Rd]])</f>
        <v>394.35555555555555</v>
      </c>
      <c r="T32" s="4"/>
    </row>
    <row r="33" spans="1:20" x14ac:dyDescent="0.25">
      <c r="A33" s="9" t="s">
        <v>105</v>
      </c>
      <c r="B33" s="9" t="s">
        <v>105</v>
      </c>
      <c r="C33" s="1" t="s">
        <v>62</v>
      </c>
      <c r="D33" s="1" t="s">
        <v>21</v>
      </c>
      <c r="E33" s="3">
        <f>COUNTIF(Tabelle8.Runde6891011[[#This Row],[1.Rd]:[9.Rd]],"&gt;399,9")</f>
        <v>0</v>
      </c>
      <c r="F33" s="1">
        <v>1</v>
      </c>
      <c r="G33" s="1">
        <f>COUNT(Tabelle8.Runde6891011[[#This Row],[1.Rd]:[9.Rd]])</f>
        <v>6</v>
      </c>
      <c r="H33" s="2">
        <v>373.3</v>
      </c>
      <c r="I33" s="1"/>
      <c r="J33" s="2"/>
      <c r="K33" s="2">
        <v>381.8</v>
      </c>
      <c r="L33" s="2">
        <v>366.8</v>
      </c>
      <c r="M33" s="2"/>
      <c r="N33" s="2">
        <v>363.2</v>
      </c>
      <c r="O33" s="2">
        <v>371.1</v>
      </c>
      <c r="P33" s="2">
        <v>371</v>
      </c>
      <c r="Q33" s="2">
        <v>385.8</v>
      </c>
      <c r="R33" s="2"/>
      <c r="S33" s="2">
        <f>AVERAGE(Tabelle8.Runde6891011[[#This Row],[1.Rd]:[9.Rd]])</f>
        <v>373.28333333333336</v>
      </c>
      <c r="T33" s="4"/>
    </row>
    <row r="34" spans="1:20" x14ac:dyDescent="0.25">
      <c r="A34" s="9" t="s">
        <v>106</v>
      </c>
      <c r="B34" s="9" t="s">
        <v>118</v>
      </c>
      <c r="C34" s="1" t="s">
        <v>69</v>
      </c>
      <c r="D34" s="1" t="s">
        <v>20</v>
      </c>
      <c r="E34" s="3">
        <f>COUNTIF(Tabelle8.Runde6891011[[#This Row],[1.Rd]:[9.Rd]],"&gt;399,9")</f>
        <v>0</v>
      </c>
      <c r="F34" s="1">
        <v>1</v>
      </c>
      <c r="G34" s="1">
        <f>COUNT(Tabelle8.Runde6891011[[#This Row],[1.Rd]:[9.Rd]])</f>
        <v>5</v>
      </c>
      <c r="H34" s="2">
        <v>378.6</v>
      </c>
      <c r="I34" s="1"/>
      <c r="J34" s="2"/>
      <c r="K34" s="2"/>
      <c r="L34" s="2">
        <v>375.1</v>
      </c>
      <c r="M34" s="2"/>
      <c r="N34" s="2">
        <v>379.1</v>
      </c>
      <c r="O34" s="2">
        <v>379.6</v>
      </c>
      <c r="P34" s="2">
        <v>384.3</v>
      </c>
      <c r="Q34" s="2"/>
      <c r="R34" s="2">
        <v>374.7</v>
      </c>
      <c r="S34" s="2">
        <f>AVERAGE(Tabelle8.Runde6891011[[#This Row],[1.Rd]:[9.Rd]])</f>
        <v>378.56000000000006</v>
      </c>
      <c r="T34" s="4"/>
    </row>
    <row r="35" spans="1:20" x14ac:dyDescent="0.25">
      <c r="A35" s="9" t="s">
        <v>107</v>
      </c>
      <c r="B35" s="9" t="s">
        <v>150</v>
      </c>
      <c r="C35" s="1" t="s">
        <v>50</v>
      </c>
      <c r="D35" s="1" t="s">
        <v>29</v>
      </c>
      <c r="E35" s="3">
        <f>COUNTIF(Tabelle8.Runde6891011[[#This Row],[1.Rd]:[9.Rd]],"&gt;399,9")</f>
        <v>0</v>
      </c>
      <c r="F35" s="1">
        <v>1</v>
      </c>
      <c r="G35" s="1">
        <f>COUNT(Tabelle8.Runde6891011[[#This Row],[1.Rd]:[9.Rd]])</f>
        <v>2</v>
      </c>
      <c r="H35" s="6">
        <v>376.6</v>
      </c>
      <c r="I35" s="1"/>
      <c r="J35" s="6">
        <v>372.6</v>
      </c>
      <c r="K35" s="2"/>
      <c r="L35" s="2"/>
      <c r="M35" s="2"/>
      <c r="N35" s="2"/>
      <c r="O35" s="2"/>
      <c r="P35" s="2"/>
      <c r="Q35" s="2"/>
      <c r="R35" s="2">
        <v>380.5</v>
      </c>
      <c r="S35" s="2">
        <f>AVERAGE(Tabelle8.Runde6891011[[#This Row],[1.Rd]:[9.Rd]])</f>
        <v>376.55</v>
      </c>
      <c r="T35" s="4"/>
    </row>
    <row r="36" spans="1:20" x14ac:dyDescent="0.25">
      <c r="A36" s="9" t="s">
        <v>108</v>
      </c>
      <c r="B36" s="9" t="s">
        <v>106</v>
      </c>
      <c r="C36" s="1" t="s">
        <v>32</v>
      </c>
      <c r="D36" s="1" t="s">
        <v>24</v>
      </c>
      <c r="E36" s="3">
        <f>COUNTIF(Tabelle8.Runde6891011[[#This Row],[1.Rd]:[9.Rd]],"&gt;399,9")</f>
        <v>0</v>
      </c>
      <c r="F36" s="1">
        <v>1</v>
      </c>
      <c r="G36" s="1">
        <f>COUNT(Tabelle8.Runde6891011[[#This Row],[1.Rd]:[9.Rd]])</f>
        <v>1</v>
      </c>
      <c r="H36" s="6">
        <v>398.8</v>
      </c>
      <c r="I36" s="1"/>
      <c r="J36" s="6">
        <v>398.8</v>
      </c>
      <c r="K36" s="2"/>
      <c r="L36" s="2"/>
      <c r="M36" s="2"/>
      <c r="N36" s="2"/>
      <c r="O36" s="2"/>
      <c r="P36" s="2"/>
      <c r="Q36" s="2"/>
      <c r="R36" s="2"/>
      <c r="S36" s="2">
        <f>AVERAGE(Tabelle8.Runde6891011[[#This Row],[1.Rd]:[9.Rd]])</f>
        <v>398.8</v>
      </c>
      <c r="T36" s="4"/>
    </row>
    <row r="37" spans="1:20" x14ac:dyDescent="0.25">
      <c r="A37" s="9" t="s">
        <v>109</v>
      </c>
      <c r="B37" s="9" t="s">
        <v>107</v>
      </c>
      <c r="C37" s="1" t="s">
        <v>124</v>
      </c>
      <c r="D37" s="1" t="s">
        <v>24</v>
      </c>
      <c r="E37" s="3">
        <f>COUNTIF(Tabelle8.Runde6891011[[#This Row],[1.Rd]:[9.Rd]],"&gt;399,9")</f>
        <v>0</v>
      </c>
      <c r="F37" s="1">
        <v>1</v>
      </c>
      <c r="G37" s="1">
        <f>COUNT(Tabelle8.Runde6891011[[#This Row],[1.Rd]:[9.Rd]])</f>
        <v>1</v>
      </c>
      <c r="H37" s="2">
        <v>383.9</v>
      </c>
      <c r="I37" s="1"/>
      <c r="J37" s="2"/>
      <c r="K37" s="2"/>
      <c r="L37" s="2"/>
      <c r="M37" s="2">
        <v>383.9</v>
      </c>
      <c r="N37" s="2"/>
      <c r="O37" s="2"/>
      <c r="P37" s="2"/>
      <c r="Q37" s="2"/>
      <c r="R37" s="2"/>
      <c r="S37" s="2">
        <f>AVERAGE(Tabelle8.Runde6891011[[#This Row],[1.Rd]:[9.Rd]])</f>
        <v>383.9</v>
      </c>
      <c r="T37" s="4"/>
    </row>
    <row r="38" spans="1:20" x14ac:dyDescent="0.25">
      <c r="A38" s="9" t="s">
        <v>110</v>
      </c>
      <c r="B38" s="9" t="s">
        <v>108</v>
      </c>
      <c r="C38" s="1" t="s">
        <v>140</v>
      </c>
      <c r="D38" s="1" t="s">
        <v>29</v>
      </c>
      <c r="E38" s="3">
        <f>COUNTIF(Tabelle8.Runde6891011[[#This Row],[1.Rd]:[9.Rd]],"&gt;399,9")</f>
        <v>0</v>
      </c>
      <c r="F38" s="1">
        <v>1</v>
      </c>
      <c r="G38" s="1">
        <f>COUNT(Tabelle8.Runde6891011[[#This Row],[1.Rd]:[9.Rd]])</f>
        <v>1</v>
      </c>
      <c r="H38" s="6">
        <v>360.5</v>
      </c>
      <c r="I38" s="1"/>
      <c r="J38" s="6"/>
      <c r="K38" s="2"/>
      <c r="L38" s="2"/>
      <c r="M38" s="2"/>
      <c r="N38" s="2"/>
      <c r="O38" s="2"/>
      <c r="P38" s="2">
        <v>360.5</v>
      </c>
      <c r="Q38" s="2"/>
      <c r="R38" s="2"/>
      <c r="S38" s="2">
        <f>AVERAGE(Tabelle8.Runde6891011[[#This Row],[1.Rd]:[9.Rd]])</f>
        <v>360.5</v>
      </c>
      <c r="T38" s="4"/>
    </row>
    <row r="39" spans="1:20" x14ac:dyDescent="0.25">
      <c r="A39" s="9" t="s">
        <v>111</v>
      </c>
      <c r="B39" s="9" t="s">
        <v>109</v>
      </c>
      <c r="C39" s="1" t="s">
        <v>61</v>
      </c>
      <c r="D39" s="1" t="s">
        <v>25</v>
      </c>
      <c r="E39" s="3">
        <f>COUNTIF(Tabelle8.Runde6891011[[#This Row],[1.Rd]:[9.Rd]],"&gt;399,9")</f>
        <v>0</v>
      </c>
      <c r="F39" s="1">
        <v>0</v>
      </c>
      <c r="G39" s="1">
        <f>COUNT(Tabelle8.Runde6891011[[#This Row],[1.Rd]:[9.Rd]])</f>
        <v>8</v>
      </c>
      <c r="H39" s="2">
        <v>381.6</v>
      </c>
      <c r="I39" s="1"/>
      <c r="J39" s="2"/>
      <c r="K39" s="2">
        <v>377.1</v>
      </c>
      <c r="L39" s="2">
        <v>373.8</v>
      </c>
      <c r="M39" s="2">
        <v>382</v>
      </c>
      <c r="N39" s="2">
        <v>380.1</v>
      </c>
      <c r="O39" s="2">
        <v>385.8</v>
      </c>
      <c r="P39" s="2">
        <v>386.8</v>
      </c>
      <c r="Q39" s="2">
        <v>383.1</v>
      </c>
      <c r="R39" s="2">
        <v>383.8</v>
      </c>
      <c r="S39" s="2">
        <f>AVERAGE(Tabelle8.Runde6891011[[#This Row],[1.Rd]:[9.Rd]])</f>
        <v>381.5625</v>
      </c>
      <c r="T39" s="4"/>
    </row>
    <row r="40" spans="1:20" x14ac:dyDescent="0.25">
      <c r="A40" s="9" t="s">
        <v>112</v>
      </c>
      <c r="B40" s="9" t="s">
        <v>110</v>
      </c>
      <c r="C40" s="1" t="s">
        <v>45</v>
      </c>
      <c r="D40" s="1" t="s">
        <v>22</v>
      </c>
      <c r="E40" s="3">
        <f>COUNTIF(Tabelle8.Runde6891011[[#This Row],[1.Rd]:[9.Rd]],"&gt;399,9")</f>
        <v>0</v>
      </c>
      <c r="F40" s="1">
        <v>0</v>
      </c>
      <c r="G40" s="1">
        <f>COUNT(Tabelle8.Runde6891011[[#This Row],[1.Rd]:[9.Rd]])</f>
        <v>7</v>
      </c>
      <c r="H40" s="6">
        <v>387.4</v>
      </c>
      <c r="I40" s="1"/>
      <c r="J40" s="6">
        <v>385.8</v>
      </c>
      <c r="K40" s="2"/>
      <c r="L40" s="2"/>
      <c r="M40" s="2">
        <v>386.3</v>
      </c>
      <c r="N40" s="2">
        <v>391.1</v>
      </c>
      <c r="O40" s="2">
        <v>384.4</v>
      </c>
      <c r="P40" s="2">
        <v>387</v>
      </c>
      <c r="Q40" s="2">
        <v>385.1</v>
      </c>
      <c r="R40" s="2">
        <v>392.3</v>
      </c>
      <c r="S40" s="2">
        <f>AVERAGE(Tabelle8.Runde6891011[[#This Row],[1.Rd]:[9.Rd]])</f>
        <v>387.42857142857144</v>
      </c>
      <c r="T40" s="4"/>
    </row>
    <row r="41" spans="1:20" x14ac:dyDescent="0.25">
      <c r="A41" s="9" t="s">
        <v>118</v>
      </c>
      <c r="B41" s="9" t="s">
        <v>111</v>
      </c>
      <c r="C41" s="1" t="s">
        <v>58</v>
      </c>
      <c r="D41" s="1" t="s">
        <v>21</v>
      </c>
      <c r="E41" s="3">
        <f>COUNTIF(Tabelle8.Runde6891011[[#This Row],[1.Rd]:[9.Rd]],"&gt;399,9")</f>
        <v>0</v>
      </c>
      <c r="F41" s="1">
        <v>0</v>
      </c>
      <c r="G41" s="1">
        <f>COUNT(Tabelle8.Runde6891011[[#This Row],[1.Rd]:[9.Rd]])</f>
        <v>7</v>
      </c>
      <c r="H41" s="2">
        <v>384.3</v>
      </c>
      <c r="I41" s="1"/>
      <c r="J41" s="6">
        <v>381.5</v>
      </c>
      <c r="K41" s="2">
        <v>390.3</v>
      </c>
      <c r="L41" s="2">
        <v>377.2</v>
      </c>
      <c r="M41" s="2">
        <v>383.1</v>
      </c>
      <c r="N41" s="2">
        <v>387.5</v>
      </c>
      <c r="O41" s="2">
        <v>386.4</v>
      </c>
      <c r="P41" s="2"/>
      <c r="Q41" s="2"/>
      <c r="R41" s="2">
        <v>384.1</v>
      </c>
      <c r="S41" s="2">
        <f>AVERAGE(Tabelle8.Runde6891011[[#This Row],[1.Rd]:[9.Rd]])</f>
        <v>384.3</v>
      </c>
      <c r="T41" s="4"/>
    </row>
    <row r="42" spans="1:20" x14ac:dyDescent="0.25">
      <c r="A42" s="9" t="s">
        <v>119</v>
      </c>
      <c r="B42" s="9" t="s">
        <v>112</v>
      </c>
      <c r="C42" s="1" t="s">
        <v>46</v>
      </c>
      <c r="D42" s="1" t="s">
        <v>22</v>
      </c>
      <c r="E42" s="3">
        <f>COUNTIF(Tabelle8.Runde6891011[[#This Row],[1.Rd]:[9.Rd]],"&gt;399,9")</f>
        <v>0</v>
      </c>
      <c r="F42" s="1">
        <v>0</v>
      </c>
      <c r="G42" s="1">
        <f>COUNT(Tabelle8.Runde6891011[[#This Row],[1.Rd]:[9.Rd]])</f>
        <v>4</v>
      </c>
      <c r="H42" s="2">
        <v>388.3</v>
      </c>
      <c r="I42" s="1"/>
      <c r="J42" s="6">
        <v>394.2</v>
      </c>
      <c r="K42" s="2">
        <v>389.4</v>
      </c>
      <c r="L42" s="2">
        <v>388.5</v>
      </c>
      <c r="M42" s="2">
        <v>381</v>
      </c>
      <c r="N42" s="2"/>
      <c r="O42" s="2"/>
      <c r="P42" s="2"/>
      <c r="Q42" s="2"/>
      <c r="R42" s="2"/>
      <c r="S42" s="2">
        <f>AVERAGE(Tabelle8.Runde6891011[[#This Row],[1.Rd]:[9.Rd]])</f>
        <v>388.27499999999998</v>
      </c>
      <c r="T42" s="4"/>
    </row>
    <row r="43" spans="1:20" x14ac:dyDescent="0.25">
      <c r="A43" s="9" t="s">
        <v>120</v>
      </c>
      <c r="B43" s="9" t="s">
        <v>120</v>
      </c>
      <c r="C43" s="1" t="s">
        <v>59</v>
      </c>
      <c r="D43" s="1" t="s">
        <v>21</v>
      </c>
      <c r="E43" s="3">
        <f>COUNTIF(Tabelle8.Runde6891011[[#This Row],[1.Rd]:[9.Rd]],"&gt;399,9")</f>
        <v>0</v>
      </c>
      <c r="F43" s="1">
        <v>0</v>
      </c>
      <c r="G43" s="1">
        <f>COUNT(Tabelle8.Runde6891011[[#This Row],[1.Rd]:[9.Rd]])</f>
        <v>4</v>
      </c>
      <c r="H43" s="2">
        <v>379.6</v>
      </c>
      <c r="I43" s="1"/>
      <c r="J43" s="6">
        <v>384.3</v>
      </c>
      <c r="K43" s="2">
        <v>370.8</v>
      </c>
      <c r="L43" s="2">
        <v>371.1</v>
      </c>
      <c r="M43" s="2"/>
      <c r="N43" s="2"/>
      <c r="O43" s="2"/>
      <c r="P43" s="2"/>
      <c r="Q43" s="2"/>
      <c r="R43" s="2">
        <v>392.2</v>
      </c>
      <c r="S43" s="2">
        <f>AVERAGE(Tabelle8.Runde6891011[[#This Row],[1.Rd]:[9.Rd]])</f>
        <v>379.6</v>
      </c>
    </row>
    <row r="44" spans="1:20" x14ac:dyDescent="0.25">
      <c r="A44" s="9" t="s">
        <v>121</v>
      </c>
      <c r="B44" s="9" t="s">
        <v>119</v>
      </c>
      <c r="C44" s="1" t="s">
        <v>123</v>
      </c>
      <c r="D44" s="1" t="s">
        <v>21</v>
      </c>
      <c r="E44" s="3">
        <f>COUNTIF(Tabelle8.Runde6891011[[#This Row],[1.Rd]:[9.Rd]],"&gt;399,9")</f>
        <v>0</v>
      </c>
      <c r="F44" s="1">
        <v>0</v>
      </c>
      <c r="G44" s="1">
        <f>COUNT(Tabelle8.Runde6891011[[#This Row],[1.Rd]:[9.Rd]])</f>
        <v>3</v>
      </c>
      <c r="H44" s="2">
        <v>380.7</v>
      </c>
      <c r="I44" s="1"/>
      <c r="J44" s="2"/>
      <c r="K44" s="2"/>
      <c r="L44" s="2"/>
      <c r="M44" s="2">
        <v>384.7</v>
      </c>
      <c r="N44" s="2"/>
      <c r="O44" s="2"/>
      <c r="P44" s="2">
        <v>378.7</v>
      </c>
      <c r="Q44" s="2">
        <v>378.8</v>
      </c>
      <c r="R44" s="2"/>
      <c r="S44" s="2">
        <f>AVERAGE(Tabelle8.Runde6891011[[#This Row],[1.Rd]:[9.Rd]])</f>
        <v>380.73333333333335</v>
      </c>
    </row>
    <row r="45" spans="1:20" x14ac:dyDescent="0.25">
      <c r="A45" s="9" t="s">
        <v>128</v>
      </c>
      <c r="B45" s="9" t="s">
        <v>121</v>
      </c>
      <c r="C45" s="1" t="s">
        <v>136</v>
      </c>
      <c r="D45" s="1" t="s">
        <v>25</v>
      </c>
      <c r="E45" s="3">
        <f>COUNTIF(Tabelle8.Runde6891011[[#This Row],[1.Rd]:[9.Rd]],"&gt;399,9")</f>
        <v>0</v>
      </c>
      <c r="F45" s="1">
        <v>0</v>
      </c>
      <c r="G45" s="1">
        <f>COUNT(Tabelle8.Runde6891011[[#This Row],[1.Rd]:[9.Rd]])</f>
        <v>2</v>
      </c>
      <c r="H45" s="2">
        <v>383.2</v>
      </c>
      <c r="I45" s="1"/>
      <c r="J45" s="2"/>
      <c r="K45" s="2"/>
      <c r="L45" s="2"/>
      <c r="M45" s="2"/>
      <c r="N45" s="2"/>
      <c r="O45" s="2">
        <v>378.8</v>
      </c>
      <c r="P45" s="2">
        <v>387.6</v>
      </c>
      <c r="Q45" s="2"/>
      <c r="R45" s="2"/>
      <c r="S45" s="2">
        <f>AVERAGE(Tabelle8.Runde6891011[[#This Row],[1.Rd]:[9.Rd]])</f>
        <v>383.20000000000005</v>
      </c>
    </row>
    <row r="46" spans="1:20" x14ac:dyDescent="0.25">
      <c r="A46" s="9" t="s">
        <v>129</v>
      </c>
      <c r="B46" s="9" t="s">
        <v>149</v>
      </c>
      <c r="C46" s="1" t="s">
        <v>53</v>
      </c>
      <c r="D46" s="1" t="s">
        <v>25</v>
      </c>
      <c r="E46" s="3">
        <f>COUNTIF(Tabelle8.Runde6891011[[#This Row],[1.Rd]:[9.Rd]],"&gt;399,9")</f>
        <v>0</v>
      </c>
      <c r="F46" s="1">
        <v>0</v>
      </c>
      <c r="G46" s="1">
        <f>COUNT(Tabelle8.Runde6891011[[#This Row],[1.Rd]:[9.Rd]])</f>
        <v>2</v>
      </c>
      <c r="H46" s="6">
        <v>370</v>
      </c>
      <c r="I46" s="1"/>
      <c r="J46" s="6">
        <v>372.9</v>
      </c>
      <c r="K46" s="2"/>
      <c r="L46" s="2"/>
      <c r="M46" s="2"/>
      <c r="N46" s="2"/>
      <c r="O46" s="2"/>
      <c r="P46" s="2"/>
      <c r="Q46" s="2"/>
      <c r="R46" s="2">
        <v>367</v>
      </c>
      <c r="S46" s="2">
        <f>AVERAGE(Tabelle8.Runde6891011[[#This Row],[1.Rd]:[9.Rd]])</f>
        <v>369.95</v>
      </c>
    </row>
    <row r="47" spans="1:20" x14ac:dyDescent="0.25">
      <c r="A47" s="9" t="s">
        <v>130</v>
      </c>
      <c r="B47" s="9" t="s">
        <v>128</v>
      </c>
      <c r="C47" s="1" t="s">
        <v>132</v>
      </c>
      <c r="D47" s="1" t="s">
        <v>23</v>
      </c>
      <c r="E47" s="3">
        <f>COUNTIF(Tabelle8.Runde6891011[[#This Row],[1.Rd]:[9.Rd]],"&gt;399,9")</f>
        <v>0</v>
      </c>
      <c r="F47" s="1">
        <v>0</v>
      </c>
      <c r="G47" s="1">
        <f>COUNT(Tabelle8.Runde6891011[[#This Row],[1.Rd]:[9.Rd]])</f>
        <v>2</v>
      </c>
      <c r="H47" s="2">
        <v>369.6</v>
      </c>
      <c r="I47" s="1"/>
      <c r="J47" s="6"/>
      <c r="K47" s="2"/>
      <c r="L47" s="2"/>
      <c r="M47" s="2"/>
      <c r="N47" s="2">
        <v>371.7</v>
      </c>
      <c r="O47" s="2">
        <v>367.5</v>
      </c>
      <c r="P47" s="2"/>
      <c r="Q47" s="2"/>
      <c r="R47" s="2"/>
      <c r="S47" s="2">
        <f>AVERAGE(Tabelle8.Runde6891011[[#This Row],[1.Rd]:[9.Rd]])</f>
        <v>369.6</v>
      </c>
    </row>
    <row r="48" spans="1:20" x14ac:dyDescent="0.25">
      <c r="A48" s="9" t="s">
        <v>131</v>
      </c>
      <c r="B48" s="9" t="s">
        <v>129</v>
      </c>
      <c r="C48" s="1" t="s">
        <v>141</v>
      </c>
      <c r="D48" s="1" t="s">
        <v>24</v>
      </c>
      <c r="E48" s="3">
        <f>COUNTIF(Tabelle8.Runde6891011[[#This Row],[1.Rd]:[9.Rd]],"&gt;399,9")</f>
        <v>0</v>
      </c>
      <c r="F48" s="1">
        <v>0</v>
      </c>
      <c r="G48" s="1">
        <f>COUNT(Tabelle8.Runde6891011[[#This Row],[1.Rd]:[9.Rd]])</f>
        <v>2</v>
      </c>
      <c r="H48" s="6">
        <v>357.6</v>
      </c>
      <c r="I48" s="1"/>
      <c r="J48" s="6"/>
      <c r="K48" s="2"/>
      <c r="L48" s="2"/>
      <c r="M48" s="2"/>
      <c r="N48" s="2"/>
      <c r="O48" s="2"/>
      <c r="P48" s="2">
        <v>351.8</v>
      </c>
      <c r="Q48" s="2">
        <v>363.3</v>
      </c>
      <c r="R48" s="2"/>
      <c r="S48" s="2">
        <f>AVERAGE(Tabelle8.Runde6891011[[#This Row],[1.Rd]:[9.Rd]])</f>
        <v>357.55</v>
      </c>
    </row>
    <row r="49" spans="1:19" x14ac:dyDescent="0.25">
      <c r="A49" s="9" t="s">
        <v>134</v>
      </c>
      <c r="B49" s="9" t="s">
        <v>130</v>
      </c>
      <c r="C49" s="1" t="s">
        <v>127</v>
      </c>
      <c r="D49" s="1" t="s">
        <v>26</v>
      </c>
      <c r="E49" s="3">
        <f>COUNTIF(Tabelle8.Runde6891011[[#This Row],[1.Rd]:[9.Rd]],"&gt;399,9")</f>
        <v>0</v>
      </c>
      <c r="F49" s="1">
        <v>0</v>
      </c>
      <c r="G49" s="1">
        <f>COUNT(Tabelle8.Runde6891011[[#This Row],[1.Rd]:[9.Rd]])</f>
        <v>1</v>
      </c>
      <c r="H49" s="2">
        <v>393.8</v>
      </c>
      <c r="I49" s="1"/>
      <c r="J49" s="6"/>
      <c r="K49" s="2"/>
      <c r="L49" s="2"/>
      <c r="M49" s="2">
        <v>393.8</v>
      </c>
      <c r="N49" s="2"/>
      <c r="O49" s="2"/>
      <c r="P49" s="2"/>
      <c r="Q49" s="2"/>
      <c r="R49" s="2"/>
      <c r="S49" s="2">
        <f>AVERAGE(Tabelle8.Runde6891011[[#This Row],[1.Rd]:[9.Rd]])</f>
        <v>393.8</v>
      </c>
    </row>
    <row r="50" spans="1:19" x14ac:dyDescent="0.25">
      <c r="A50" s="9" t="s">
        <v>137</v>
      </c>
      <c r="B50" s="9" t="s">
        <v>131</v>
      </c>
      <c r="C50" s="1" t="s">
        <v>49</v>
      </c>
      <c r="D50" s="1" t="s">
        <v>29</v>
      </c>
      <c r="E50" s="3">
        <f>COUNTIF(Tabelle8.Runde6891011[[#This Row],[1.Rd]:[9.Rd]],"&gt;399,9")</f>
        <v>0</v>
      </c>
      <c r="F50" s="1">
        <v>0</v>
      </c>
      <c r="G50" s="1">
        <f>COUNT(Tabelle8.Runde6891011[[#This Row],[1.Rd]:[9.Rd]])</f>
        <v>1</v>
      </c>
      <c r="H50" s="6">
        <v>391.3</v>
      </c>
      <c r="I50" s="1"/>
      <c r="J50" s="6">
        <v>391.3</v>
      </c>
      <c r="K50" s="2"/>
      <c r="L50" s="2"/>
      <c r="M50" s="2"/>
      <c r="N50" s="2"/>
      <c r="O50" s="2"/>
      <c r="P50" s="2"/>
      <c r="Q50" s="2"/>
      <c r="R50" s="2"/>
      <c r="S50" s="2">
        <f>AVERAGE(Tabelle8.Runde6891011[[#This Row],[1.Rd]:[9.Rd]])</f>
        <v>391.3</v>
      </c>
    </row>
    <row r="51" spans="1:19" x14ac:dyDescent="0.25">
      <c r="A51" s="9" t="s">
        <v>142</v>
      </c>
      <c r="B51" s="9" t="s">
        <v>134</v>
      </c>
      <c r="C51" s="1" t="s">
        <v>148</v>
      </c>
      <c r="D51" s="1" t="s">
        <v>26</v>
      </c>
      <c r="E51" s="3">
        <f>COUNTIF(Tabelle8.Runde6891011[[#This Row],[1.Rd]:[9.Rd]],"&gt;399,9")</f>
        <v>0</v>
      </c>
      <c r="F51" s="1">
        <v>0</v>
      </c>
      <c r="G51" s="1">
        <f>COUNT(Tabelle8.Runde6891011[[#This Row],[1.Rd]:[9.Rd]])</f>
        <v>1</v>
      </c>
      <c r="H51" s="2">
        <v>385.2</v>
      </c>
      <c r="I51" s="1"/>
      <c r="J51" s="2"/>
      <c r="K51" s="2"/>
      <c r="L51" s="2"/>
      <c r="M51" s="2"/>
      <c r="N51" s="2"/>
      <c r="O51" s="2"/>
      <c r="P51" s="2"/>
      <c r="Q51" s="2">
        <v>385.2</v>
      </c>
      <c r="R51" s="2"/>
      <c r="S51" s="2">
        <f>AVERAGE(Tabelle8.Runde6891011[[#This Row],[1.Rd]:[9.Rd]])</f>
        <v>385.2</v>
      </c>
    </row>
    <row r="52" spans="1:19" x14ac:dyDescent="0.25">
      <c r="A52" s="9" t="s">
        <v>143</v>
      </c>
      <c r="B52" s="9" t="s">
        <v>137</v>
      </c>
      <c r="C52" s="1" t="s">
        <v>146</v>
      </c>
      <c r="D52" s="1" t="s">
        <v>29</v>
      </c>
      <c r="E52" s="3">
        <f>COUNTIF(Tabelle8.Runde6891011[[#This Row],[1.Rd]:[9.Rd]],"&gt;399,9")</f>
        <v>0</v>
      </c>
      <c r="F52" s="1">
        <v>0</v>
      </c>
      <c r="G52" s="1">
        <f>COUNT(Tabelle8.Runde6891011[[#This Row],[1.Rd]:[9.Rd]])</f>
        <v>1</v>
      </c>
      <c r="H52" s="6">
        <v>383.3</v>
      </c>
      <c r="I52" s="1"/>
      <c r="J52" s="6"/>
      <c r="K52" s="2"/>
      <c r="L52" s="2"/>
      <c r="M52" s="2"/>
      <c r="N52" s="2"/>
      <c r="O52" s="2"/>
      <c r="P52" s="2"/>
      <c r="Q52" s="2">
        <v>383.3</v>
      </c>
      <c r="R52" s="2"/>
      <c r="S52" s="2">
        <f>AVERAGE(Tabelle8.Runde6891011[[#This Row],[1.Rd]:[9.Rd]])</f>
        <v>383.3</v>
      </c>
    </row>
    <row r="53" spans="1:19" x14ac:dyDescent="0.25">
      <c r="A53" s="9" t="s">
        <v>144</v>
      </c>
      <c r="B53" s="9" t="s">
        <v>142</v>
      </c>
      <c r="C53" s="1" t="s">
        <v>125</v>
      </c>
      <c r="D53" s="1" t="s">
        <v>25</v>
      </c>
      <c r="E53" s="3">
        <f>COUNTIF(Tabelle8.Runde6891011[[#This Row],[1.Rd]:[9.Rd]],"&gt;399,9")</f>
        <v>0</v>
      </c>
      <c r="F53" s="1">
        <v>0</v>
      </c>
      <c r="G53" s="1">
        <f>COUNT(Tabelle8.Runde6891011[[#This Row],[1.Rd]:[9.Rd]])</f>
        <v>1</v>
      </c>
      <c r="H53" s="2">
        <v>380.7</v>
      </c>
      <c r="I53" s="1"/>
      <c r="J53" s="2"/>
      <c r="K53" s="2"/>
      <c r="L53" s="2"/>
      <c r="M53" s="2">
        <v>380.7</v>
      </c>
      <c r="N53" s="2"/>
      <c r="O53" s="2"/>
      <c r="P53" s="2"/>
      <c r="Q53" s="2"/>
      <c r="R53" s="2"/>
      <c r="S53" s="2">
        <f>AVERAGE(Tabelle8.Runde6891011[[#This Row],[1.Rd]:[9.Rd]])</f>
        <v>380.7</v>
      </c>
    </row>
    <row r="54" spans="1:19" x14ac:dyDescent="0.25">
      <c r="A54" s="9" t="s">
        <v>149</v>
      </c>
      <c r="B54" s="9" t="s">
        <v>143</v>
      </c>
      <c r="C54" s="1" t="s">
        <v>138</v>
      </c>
      <c r="D54" s="1" t="s">
        <v>26</v>
      </c>
      <c r="E54" s="3">
        <f>COUNTIF(Tabelle8.Runde6891011[[#This Row],[1.Rd]:[9.Rd]],"&gt;399,9")</f>
        <v>0</v>
      </c>
      <c r="F54" s="1">
        <v>0</v>
      </c>
      <c r="G54" s="1">
        <f>COUNT(Tabelle8.Runde6891011[[#This Row],[1.Rd]:[9.Rd]])</f>
        <v>1</v>
      </c>
      <c r="H54" s="6">
        <v>378.6</v>
      </c>
      <c r="I54" s="1"/>
      <c r="J54" s="6"/>
      <c r="K54" s="2"/>
      <c r="L54" s="2"/>
      <c r="M54" s="2"/>
      <c r="N54" s="2"/>
      <c r="O54" s="2"/>
      <c r="P54" s="2">
        <v>378.6</v>
      </c>
      <c r="Q54" s="2"/>
      <c r="R54" s="2"/>
      <c r="S54" s="2">
        <f>AVERAGE(Tabelle8.Runde6891011[[#This Row],[1.Rd]:[9.Rd]])</f>
        <v>378.6</v>
      </c>
    </row>
    <row r="55" spans="1:19" x14ac:dyDescent="0.25">
      <c r="A55" s="9" t="s">
        <v>150</v>
      </c>
      <c r="B55" s="9" t="s">
        <v>144</v>
      </c>
      <c r="C55" s="1" t="s">
        <v>147</v>
      </c>
      <c r="D55" s="1" t="s">
        <v>25</v>
      </c>
      <c r="E55" s="3">
        <f>COUNTIF(Tabelle8.Runde6891011[[#This Row],[1.Rd]:[9.Rd]],"&gt;399,9")</f>
        <v>0</v>
      </c>
      <c r="F55" s="1">
        <v>0</v>
      </c>
      <c r="G55" s="1">
        <f>COUNT(Tabelle8.Runde6891011[[#This Row],[1.Rd]:[9.Rd]])</f>
        <v>1</v>
      </c>
      <c r="H55" s="6">
        <v>373.3</v>
      </c>
      <c r="I55" s="1"/>
      <c r="J55" s="6"/>
      <c r="K55" s="2"/>
      <c r="L55" s="2"/>
      <c r="M55" s="2"/>
      <c r="N55" s="2"/>
      <c r="O55" s="2"/>
      <c r="P55" s="2"/>
      <c r="Q55" s="2">
        <v>373.3</v>
      </c>
      <c r="R55" s="2"/>
      <c r="S55" s="2">
        <f>AVERAGE(Tabelle8.Runde6891011[[#This Row],[1.Rd]:[9.Rd]])</f>
        <v>373.3</v>
      </c>
    </row>
    <row r="56" spans="1:19" x14ac:dyDescent="0.25">
      <c r="A56" s="9" t="s">
        <v>151</v>
      </c>
      <c r="B56" s="9" t="s">
        <v>151</v>
      </c>
      <c r="C56" s="1" t="s">
        <v>41</v>
      </c>
      <c r="D56" s="1" t="s">
        <v>23</v>
      </c>
      <c r="E56" s="3">
        <f>COUNTIF(Tabelle8.Runde6891011[[#This Row],[1.Rd]:[9.Rd]],"&gt;399,9")</f>
        <v>0</v>
      </c>
      <c r="F56" s="1">
        <v>0</v>
      </c>
      <c r="G56" s="1">
        <f>COUNT(Tabelle8.Runde6891011[[#This Row],[1.Rd]:[9.Rd]])</f>
        <v>1</v>
      </c>
      <c r="H56" s="6">
        <v>362.8</v>
      </c>
      <c r="I56" s="1"/>
      <c r="J56" s="6">
        <v>362.8</v>
      </c>
      <c r="K56" s="2"/>
      <c r="L56" s="2"/>
      <c r="M56" s="2"/>
      <c r="N56" s="2"/>
      <c r="O56" s="2"/>
      <c r="P56" s="2"/>
      <c r="Q56" s="2"/>
      <c r="R56" s="2"/>
      <c r="S56" s="2">
        <f>AVERAGE(Tabelle8.Runde6891011[[#This Row],[1.Rd]:[9.Rd]])</f>
        <v>362.8</v>
      </c>
    </row>
    <row r="57" spans="1:19" x14ac:dyDescent="0.25">
      <c r="A57" s="9" t="s">
        <v>154</v>
      </c>
      <c r="B57" s="9" t="s">
        <v>126</v>
      </c>
      <c r="C57" s="1" t="s">
        <v>152</v>
      </c>
      <c r="D57" s="1" t="s">
        <v>29</v>
      </c>
      <c r="E57" s="3">
        <f>COUNTIF(Tabelle8.Runde6891011[[#This Row],[1.Rd]:[9.Rd]],"&gt;399,9")</f>
        <v>0</v>
      </c>
      <c r="F57" s="1"/>
      <c r="G57" s="1">
        <f>COUNT(Tabelle8.Runde6891011[[#This Row],[1.Rd]:[9.Rd]])</f>
        <v>1</v>
      </c>
      <c r="H57" s="6">
        <v>371.9</v>
      </c>
      <c r="I57" s="1"/>
      <c r="J57" s="6"/>
      <c r="K57" s="2"/>
      <c r="L57" s="2"/>
      <c r="M57" s="2"/>
      <c r="N57" s="2"/>
      <c r="O57" s="2"/>
      <c r="P57" s="2"/>
      <c r="Q57" s="2"/>
      <c r="R57" s="2">
        <v>371.9</v>
      </c>
      <c r="S57" s="2">
        <f>AVERAGE(Tabelle8.Runde6891011[[#This Row],[1.Rd]:[9.Rd]])</f>
        <v>371.9</v>
      </c>
    </row>
    <row r="58" spans="1:19" x14ac:dyDescent="0.25">
      <c r="A58" s="1" t="s">
        <v>70</v>
      </c>
      <c r="B58" s="1"/>
      <c r="C58" s="1"/>
      <c r="D58" s="1"/>
      <c r="E58" s="1">
        <f>SUBTOTAL(109,Tabelle8.Runde6891011[400,0])</f>
        <v>55</v>
      </c>
      <c r="F58" s="1"/>
      <c r="G58" s="1"/>
      <c r="H58" s="1"/>
      <c r="I58" s="1"/>
      <c r="J58" s="8">
        <f>SUBTOTAL(103,Tabelle8.Runde6891011[1.Rd])</f>
        <v>30</v>
      </c>
      <c r="K58" s="1">
        <f>SUBTOTAL(103,Tabelle8.Runde6891011[2.Rd])</f>
        <v>30</v>
      </c>
      <c r="L58" s="1">
        <f>SUBTOTAL(103,Tabelle8.Runde6891011[3.Rd])</f>
        <v>30</v>
      </c>
      <c r="M58" s="1">
        <f>SUBTOTAL(103,Tabelle8.Runde6891011[4.Rd])</f>
        <v>30</v>
      </c>
      <c r="N58" s="1">
        <f>SUBTOTAL(103,Tabelle8.Runde6891011[5.Rd])</f>
        <v>30</v>
      </c>
      <c r="O58" s="1">
        <f>SUBTOTAL(103,Tabelle8.Runde6891011[6.Rd])</f>
        <v>30</v>
      </c>
      <c r="P58" s="1">
        <f>SUBTOTAL(103,Tabelle8.Runde6891011[7.Rd])</f>
        <v>30</v>
      </c>
      <c r="Q58" s="1">
        <f>SUBTOTAL(103,Tabelle8.Runde6891011[7.Rd])</f>
        <v>30</v>
      </c>
      <c r="R58" s="1"/>
      <c r="S58" s="2"/>
    </row>
    <row r="59" spans="1:19" x14ac:dyDescent="0.25">
      <c r="C59" s="1"/>
      <c r="D59" s="1"/>
    </row>
    <row r="60" spans="1:19" x14ac:dyDescent="0.25">
      <c r="C60" s="1"/>
      <c r="D60" s="1"/>
    </row>
    <row r="61" spans="1:19" x14ac:dyDescent="0.25">
      <c r="C61" s="1"/>
      <c r="D61" s="1"/>
    </row>
    <row r="62" spans="1:19" x14ac:dyDescent="0.25">
      <c r="C62" s="1"/>
      <c r="D62" s="1"/>
    </row>
    <row r="63" spans="1:19" x14ac:dyDescent="0.25">
      <c r="C63" s="1"/>
      <c r="D63" s="1"/>
    </row>
    <row r="64" spans="1:19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5:D57" xr:uid="{45292D3F-035F-4B3E-A8CF-513A063451E6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5C0C-702E-41C9-88FB-2FBDA9C969C9}">
  <dimension ref="A1:A11"/>
  <sheetViews>
    <sheetView workbookViewId="0">
      <selection activeCell="H37" sqref="H37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6A92-F94A-4189-BDC4-93F3D8434D39}">
  <dimension ref="A1:N53"/>
  <sheetViews>
    <sheetView zoomScale="80" zoomScaleNormal="80" workbookViewId="0">
      <selection activeCell="E6" sqref="E6"/>
    </sheetView>
  </sheetViews>
  <sheetFormatPr baseColWidth="10" defaultRowHeight="15" x14ac:dyDescent="0.25"/>
  <cols>
    <col min="1" max="1" width="9.7109375" bestFit="1" customWidth="1"/>
    <col min="2" max="2" width="5.85546875" bestFit="1" customWidth="1"/>
    <col min="3" max="3" width="22.85546875" customWidth="1"/>
    <col min="4" max="4" width="19.7109375" customWidth="1"/>
    <col min="5" max="5" width="10.140625" bestFit="1" customWidth="1"/>
    <col min="6" max="6" width="10.42578125" bestFit="1" customWidth="1"/>
    <col min="7" max="7" width="10.5703125" bestFit="1" customWidth="1"/>
    <col min="8" max="8" width="11.7109375" bestFit="1" customWidth="1"/>
  </cols>
  <sheetData>
    <row r="1" spans="1:14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5"/>
    </row>
    <row r="2" spans="1:14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5"/>
    </row>
    <row r="3" spans="1:14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"/>
    </row>
    <row r="5" spans="1:14" x14ac:dyDescent="0.25">
      <c r="A5" t="s">
        <v>3</v>
      </c>
      <c r="B5" t="s">
        <v>4</v>
      </c>
      <c r="C5" s="1" t="s">
        <v>5</v>
      </c>
      <c r="D5" s="1" t="s">
        <v>6</v>
      </c>
      <c r="E5" s="2" t="s">
        <v>74</v>
      </c>
      <c r="F5" s="1" t="s">
        <v>7</v>
      </c>
      <c r="G5" s="1" t="s">
        <v>8</v>
      </c>
      <c r="H5" s="1" t="s">
        <v>9</v>
      </c>
    </row>
    <row r="6" spans="1:14" x14ac:dyDescent="0.25">
      <c r="A6" s="1" t="s">
        <v>77</v>
      </c>
      <c r="C6" s="1" t="s">
        <v>51</v>
      </c>
      <c r="D6" s="1" t="s">
        <v>25</v>
      </c>
      <c r="E6" s="3">
        <v>1</v>
      </c>
      <c r="F6" s="1">
        <v>1</v>
      </c>
      <c r="G6" s="1">
        <v>1</v>
      </c>
      <c r="H6" s="2">
        <v>409.9</v>
      </c>
    </row>
    <row r="7" spans="1:14" x14ac:dyDescent="0.25">
      <c r="A7" s="1" t="s">
        <v>78</v>
      </c>
      <c r="C7" s="1" t="s">
        <v>43</v>
      </c>
      <c r="D7" s="1" t="s">
        <v>27</v>
      </c>
      <c r="E7" s="3">
        <v>1</v>
      </c>
      <c r="F7" s="1">
        <v>1</v>
      </c>
      <c r="G7" s="1">
        <v>1</v>
      </c>
      <c r="H7" s="2">
        <v>408.2</v>
      </c>
    </row>
    <row r="8" spans="1:14" x14ac:dyDescent="0.25">
      <c r="A8" s="1" t="s">
        <v>79</v>
      </c>
      <c r="C8" s="1" t="s">
        <v>55</v>
      </c>
      <c r="D8" s="1" t="s">
        <v>20</v>
      </c>
      <c r="E8" s="3">
        <v>1</v>
      </c>
      <c r="F8" s="1">
        <v>1</v>
      </c>
      <c r="G8" s="1">
        <v>1</v>
      </c>
      <c r="H8" s="2">
        <v>406.4</v>
      </c>
    </row>
    <row r="9" spans="1:14" x14ac:dyDescent="0.25">
      <c r="A9" s="1" t="s">
        <v>80</v>
      </c>
      <c r="C9" s="1" t="s">
        <v>36</v>
      </c>
      <c r="D9" s="1" t="s">
        <v>26</v>
      </c>
      <c r="E9" s="3">
        <v>1</v>
      </c>
      <c r="F9" s="1">
        <v>1</v>
      </c>
      <c r="G9" s="1">
        <v>1</v>
      </c>
      <c r="H9" s="2">
        <v>405.8</v>
      </c>
    </row>
    <row r="10" spans="1:14" x14ac:dyDescent="0.25">
      <c r="A10" s="1" t="s">
        <v>81</v>
      </c>
      <c r="C10" s="1" t="s">
        <v>75</v>
      </c>
      <c r="D10" s="1" t="s">
        <v>25</v>
      </c>
      <c r="E10" s="3">
        <v>1</v>
      </c>
      <c r="F10" s="1">
        <v>1</v>
      </c>
      <c r="G10" s="1">
        <v>1</v>
      </c>
      <c r="H10" s="2">
        <v>401.2</v>
      </c>
    </row>
    <row r="11" spans="1:14" x14ac:dyDescent="0.25">
      <c r="A11" s="1" t="s">
        <v>82</v>
      </c>
      <c r="C11" s="1" t="s">
        <v>44</v>
      </c>
      <c r="D11" s="1" t="s">
        <v>27</v>
      </c>
      <c r="E11" s="3">
        <v>1</v>
      </c>
      <c r="F11" s="1">
        <v>1</v>
      </c>
      <c r="G11" s="1">
        <v>1</v>
      </c>
      <c r="H11" s="2">
        <v>401.1</v>
      </c>
    </row>
    <row r="12" spans="1:14" x14ac:dyDescent="0.25">
      <c r="A12" s="1" t="s">
        <v>83</v>
      </c>
      <c r="C12" s="1" t="s">
        <v>32</v>
      </c>
      <c r="D12" s="1" t="s">
        <v>24</v>
      </c>
      <c r="E12" s="3"/>
      <c r="F12" s="1">
        <v>1</v>
      </c>
      <c r="G12" s="1">
        <v>1</v>
      </c>
      <c r="H12" s="2">
        <v>398.8</v>
      </c>
    </row>
    <row r="13" spans="1:14" x14ac:dyDescent="0.25">
      <c r="A13" s="1" t="s">
        <v>84</v>
      </c>
      <c r="C13" s="1" t="s">
        <v>42</v>
      </c>
      <c r="D13" s="1" t="s">
        <v>27</v>
      </c>
      <c r="E13" s="3"/>
      <c r="F13" s="1">
        <v>1</v>
      </c>
      <c r="G13" s="1">
        <v>1</v>
      </c>
      <c r="H13" s="2">
        <v>397.6</v>
      </c>
    </row>
    <row r="14" spans="1:14" x14ac:dyDescent="0.25">
      <c r="A14" s="1" t="s">
        <v>85</v>
      </c>
      <c r="C14" s="1" t="s">
        <v>37</v>
      </c>
      <c r="D14" s="1" t="s">
        <v>26</v>
      </c>
      <c r="E14" s="3"/>
      <c r="F14" s="1">
        <v>1</v>
      </c>
      <c r="G14" s="1">
        <v>1</v>
      </c>
      <c r="H14" s="2">
        <v>397</v>
      </c>
    </row>
    <row r="15" spans="1:14" x14ac:dyDescent="0.25">
      <c r="A15" s="1" t="s">
        <v>86</v>
      </c>
      <c r="C15" s="1" t="s">
        <v>56</v>
      </c>
      <c r="D15" s="1" t="s">
        <v>20</v>
      </c>
      <c r="E15" s="3"/>
      <c r="F15" s="1">
        <v>1</v>
      </c>
      <c r="G15" s="1">
        <v>1</v>
      </c>
      <c r="H15" s="2">
        <v>392.3</v>
      </c>
    </row>
    <row r="16" spans="1:14" x14ac:dyDescent="0.25">
      <c r="A16" s="1" t="s">
        <v>87</v>
      </c>
      <c r="C16" s="1" t="s">
        <v>34</v>
      </c>
      <c r="D16" s="1" t="s">
        <v>28</v>
      </c>
      <c r="E16" s="3"/>
      <c r="F16" s="1">
        <v>1</v>
      </c>
      <c r="G16" s="1">
        <v>1</v>
      </c>
      <c r="H16" s="2">
        <v>390.5</v>
      </c>
    </row>
    <row r="17" spans="1:8" x14ac:dyDescent="0.25">
      <c r="A17" s="1" t="s">
        <v>88</v>
      </c>
      <c r="C17" s="1" t="s">
        <v>38</v>
      </c>
      <c r="D17" s="1" t="s">
        <v>26</v>
      </c>
      <c r="E17" s="3"/>
      <c r="F17" s="1">
        <v>1</v>
      </c>
      <c r="G17" s="1">
        <v>1</v>
      </c>
      <c r="H17" s="2">
        <v>384.1</v>
      </c>
    </row>
    <row r="18" spans="1:8" x14ac:dyDescent="0.25">
      <c r="A18" s="1" t="s">
        <v>89</v>
      </c>
      <c r="C18" s="1" t="s">
        <v>33</v>
      </c>
      <c r="D18" s="1" t="s">
        <v>28</v>
      </c>
      <c r="E18" s="3">
        <v>1</v>
      </c>
      <c r="F18" s="1">
        <v>0</v>
      </c>
      <c r="G18" s="1">
        <v>1</v>
      </c>
      <c r="H18" s="2">
        <v>400.8</v>
      </c>
    </row>
    <row r="19" spans="1:8" x14ac:dyDescent="0.25">
      <c r="A19" s="1" t="s">
        <v>90</v>
      </c>
      <c r="B19" s="1"/>
      <c r="C19" s="1" t="s">
        <v>39</v>
      </c>
      <c r="D19" s="1" t="s">
        <v>23</v>
      </c>
      <c r="E19" s="3"/>
      <c r="F19" s="1">
        <v>0</v>
      </c>
      <c r="G19" s="1">
        <v>1</v>
      </c>
      <c r="H19" s="2">
        <v>397.2</v>
      </c>
    </row>
    <row r="20" spans="1:8" x14ac:dyDescent="0.25">
      <c r="A20" s="1" t="s">
        <v>91</v>
      </c>
      <c r="B20" s="1"/>
      <c r="C20" s="1" t="s">
        <v>48</v>
      </c>
      <c r="D20" s="1" t="s">
        <v>29</v>
      </c>
      <c r="E20" s="3"/>
      <c r="F20" s="1">
        <v>0</v>
      </c>
      <c r="G20" s="1">
        <v>1</v>
      </c>
      <c r="H20" s="2">
        <v>397.2</v>
      </c>
    </row>
    <row r="21" spans="1:8" x14ac:dyDescent="0.25">
      <c r="A21" s="1" t="s">
        <v>92</v>
      </c>
      <c r="B21" s="1"/>
      <c r="C21" s="1" t="s">
        <v>54</v>
      </c>
      <c r="D21" s="1" t="s">
        <v>20</v>
      </c>
      <c r="E21" s="3"/>
      <c r="F21" s="1">
        <v>0</v>
      </c>
      <c r="G21" s="1">
        <v>1</v>
      </c>
      <c r="H21" s="2">
        <v>395.1</v>
      </c>
    </row>
    <row r="22" spans="1:8" x14ac:dyDescent="0.25">
      <c r="A22" s="1" t="s">
        <v>93</v>
      </c>
      <c r="B22" s="1"/>
      <c r="C22" s="1" t="s">
        <v>76</v>
      </c>
      <c r="D22" s="1" t="s">
        <v>21</v>
      </c>
      <c r="E22" s="3"/>
      <c r="F22" s="1">
        <v>0</v>
      </c>
      <c r="G22" s="1">
        <v>1</v>
      </c>
      <c r="H22" s="2">
        <v>395.1</v>
      </c>
    </row>
    <row r="23" spans="1:8" x14ac:dyDescent="0.25">
      <c r="A23" s="1" t="s">
        <v>94</v>
      </c>
      <c r="B23" s="1"/>
      <c r="C23" s="1" t="s">
        <v>46</v>
      </c>
      <c r="D23" s="1" t="s">
        <v>22</v>
      </c>
      <c r="E23" s="3"/>
      <c r="F23" s="1">
        <v>0</v>
      </c>
      <c r="G23" s="1">
        <v>1</v>
      </c>
      <c r="H23" s="2">
        <v>394.2</v>
      </c>
    </row>
    <row r="24" spans="1:8" x14ac:dyDescent="0.25">
      <c r="A24" s="1" t="s">
        <v>95</v>
      </c>
      <c r="B24" s="1"/>
      <c r="C24" s="1" t="s">
        <v>40</v>
      </c>
      <c r="D24" s="1" t="s">
        <v>23</v>
      </c>
      <c r="E24" s="3"/>
      <c r="F24" s="1">
        <v>0</v>
      </c>
      <c r="G24" s="1">
        <v>1</v>
      </c>
      <c r="H24" s="2">
        <v>391.5</v>
      </c>
    </row>
    <row r="25" spans="1:8" x14ac:dyDescent="0.25">
      <c r="A25" s="1" t="s">
        <v>96</v>
      </c>
      <c r="B25" s="1"/>
      <c r="C25" s="1" t="s">
        <v>49</v>
      </c>
      <c r="D25" s="1" t="s">
        <v>29</v>
      </c>
      <c r="E25" s="3"/>
      <c r="F25" s="1">
        <v>0</v>
      </c>
      <c r="G25" s="1">
        <v>1</v>
      </c>
      <c r="H25" s="2">
        <v>391.3</v>
      </c>
    </row>
    <row r="26" spans="1:8" x14ac:dyDescent="0.25">
      <c r="A26" s="1" t="s">
        <v>97</v>
      </c>
      <c r="B26" s="1"/>
      <c r="C26" s="1" t="s">
        <v>35</v>
      </c>
      <c r="D26" s="1" t="s">
        <v>28</v>
      </c>
      <c r="E26" s="3"/>
      <c r="F26" s="1">
        <v>0</v>
      </c>
      <c r="G26" s="1">
        <v>1</v>
      </c>
      <c r="H26" s="2">
        <v>389.5</v>
      </c>
    </row>
    <row r="27" spans="1:8" x14ac:dyDescent="0.25">
      <c r="A27" s="1" t="s">
        <v>98</v>
      </c>
      <c r="B27" s="1"/>
      <c r="C27" s="1" t="s">
        <v>45</v>
      </c>
      <c r="D27" s="1" t="s">
        <v>22</v>
      </c>
      <c r="E27" s="3"/>
      <c r="F27" s="1">
        <v>0</v>
      </c>
      <c r="G27" s="1">
        <v>1</v>
      </c>
      <c r="H27" s="2">
        <v>385.8</v>
      </c>
    </row>
    <row r="28" spans="1:8" x14ac:dyDescent="0.25">
      <c r="A28" s="1" t="s">
        <v>99</v>
      </c>
      <c r="B28" s="1"/>
      <c r="C28" s="1" t="s">
        <v>59</v>
      </c>
      <c r="D28" s="1" t="s">
        <v>21</v>
      </c>
      <c r="E28" s="3"/>
      <c r="F28" s="1">
        <v>0</v>
      </c>
      <c r="G28" s="1">
        <v>1</v>
      </c>
      <c r="H28" s="2">
        <v>384.3</v>
      </c>
    </row>
    <row r="29" spans="1:8" x14ac:dyDescent="0.25">
      <c r="A29" s="1" t="s">
        <v>100</v>
      </c>
      <c r="B29" s="1"/>
      <c r="C29" s="1" t="s">
        <v>58</v>
      </c>
      <c r="D29" s="1" t="s">
        <v>21</v>
      </c>
      <c r="E29" s="3"/>
      <c r="F29" s="1">
        <v>0</v>
      </c>
      <c r="G29" s="1">
        <v>1</v>
      </c>
      <c r="H29" s="2">
        <v>381.5</v>
      </c>
    </row>
    <row r="30" spans="1:8" x14ac:dyDescent="0.25">
      <c r="A30" s="1" t="s">
        <v>101</v>
      </c>
      <c r="B30" s="1"/>
      <c r="C30" s="1" t="s">
        <v>31</v>
      </c>
      <c r="D30" s="1" t="s">
        <v>24</v>
      </c>
      <c r="E30" s="3"/>
      <c r="F30" s="1">
        <v>0</v>
      </c>
      <c r="G30" s="1">
        <v>1</v>
      </c>
      <c r="H30" s="2">
        <v>380.4</v>
      </c>
    </row>
    <row r="31" spans="1:8" x14ac:dyDescent="0.25">
      <c r="A31" s="1" t="s">
        <v>102</v>
      </c>
      <c r="B31" s="1"/>
      <c r="C31" s="1" t="s">
        <v>47</v>
      </c>
      <c r="D31" s="1" t="s">
        <v>22</v>
      </c>
      <c r="E31" s="3"/>
      <c r="F31" s="1">
        <v>0</v>
      </c>
      <c r="G31" s="1">
        <v>1</v>
      </c>
      <c r="H31" s="2">
        <v>375.7</v>
      </c>
    </row>
    <row r="32" spans="1:8" x14ac:dyDescent="0.25">
      <c r="A32" s="1" t="s">
        <v>103</v>
      </c>
      <c r="B32" s="1"/>
      <c r="C32" s="1" t="s">
        <v>53</v>
      </c>
      <c r="D32" s="1" t="s">
        <v>25</v>
      </c>
      <c r="E32" s="3"/>
      <c r="F32" s="1">
        <v>0</v>
      </c>
      <c r="G32" s="1">
        <v>1</v>
      </c>
      <c r="H32" s="2">
        <v>372.9</v>
      </c>
    </row>
    <row r="33" spans="1:8" x14ac:dyDescent="0.25">
      <c r="A33" s="1" t="s">
        <v>104</v>
      </c>
      <c r="B33" s="1"/>
      <c r="C33" s="1" t="s">
        <v>50</v>
      </c>
      <c r="D33" s="1" t="s">
        <v>29</v>
      </c>
      <c r="E33" s="3"/>
      <c r="F33" s="1">
        <v>0</v>
      </c>
      <c r="G33" s="1">
        <v>1</v>
      </c>
      <c r="H33" s="2">
        <v>372.6</v>
      </c>
    </row>
    <row r="34" spans="1:8" x14ac:dyDescent="0.25">
      <c r="A34" s="1" t="s">
        <v>105</v>
      </c>
      <c r="B34" s="1"/>
      <c r="C34" s="1" t="s">
        <v>41</v>
      </c>
      <c r="D34" s="1" t="s">
        <v>23</v>
      </c>
      <c r="E34" s="3"/>
      <c r="F34" s="1">
        <v>0</v>
      </c>
      <c r="G34" s="1">
        <v>1</v>
      </c>
      <c r="H34" s="2">
        <v>362.8</v>
      </c>
    </row>
    <row r="35" spans="1:8" x14ac:dyDescent="0.25">
      <c r="A35" s="1" t="s">
        <v>106</v>
      </c>
      <c r="B35" s="1"/>
      <c r="C35" s="1" t="s">
        <v>30</v>
      </c>
      <c r="D35" s="1" t="s">
        <v>24</v>
      </c>
      <c r="E35" s="3"/>
      <c r="F35" s="1">
        <v>0</v>
      </c>
      <c r="G35" s="1">
        <v>1</v>
      </c>
      <c r="H35" s="2">
        <v>305.2</v>
      </c>
    </row>
    <row r="36" spans="1:8" x14ac:dyDescent="0.25">
      <c r="C36" s="1"/>
      <c r="D36" s="1"/>
    </row>
    <row r="37" spans="1:8" x14ac:dyDescent="0.25">
      <c r="C37" s="1"/>
      <c r="D37" s="1"/>
    </row>
    <row r="38" spans="1:8" x14ac:dyDescent="0.25">
      <c r="C38" s="1"/>
      <c r="D38" s="1"/>
    </row>
    <row r="39" spans="1:8" x14ac:dyDescent="0.25">
      <c r="C39" s="1"/>
      <c r="D39" s="1"/>
    </row>
    <row r="40" spans="1:8" x14ac:dyDescent="0.25">
      <c r="C40" s="1"/>
      <c r="D40" s="1"/>
    </row>
    <row r="41" spans="1:8" x14ac:dyDescent="0.25">
      <c r="C41" s="1"/>
      <c r="D41" s="1"/>
    </row>
    <row r="42" spans="1:8" x14ac:dyDescent="0.25">
      <c r="C42" s="1"/>
      <c r="D42" s="1"/>
    </row>
    <row r="43" spans="1:8" x14ac:dyDescent="0.25">
      <c r="C43" s="1"/>
      <c r="D43" s="1"/>
    </row>
    <row r="44" spans="1:8" x14ac:dyDescent="0.25">
      <c r="C44" s="1"/>
      <c r="D44" s="1"/>
    </row>
    <row r="45" spans="1:8" x14ac:dyDescent="0.25">
      <c r="C45" s="1"/>
      <c r="D45" s="1"/>
    </row>
    <row r="46" spans="1:8" x14ac:dyDescent="0.25">
      <c r="C46" s="1"/>
      <c r="D46" s="1"/>
    </row>
    <row r="47" spans="1:8" x14ac:dyDescent="0.25">
      <c r="C47" s="1"/>
      <c r="D47" s="1"/>
    </row>
    <row r="48" spans="1:8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</sheetData>
  <mergeCells count="3">
    <mergeCell ref="A1:M1"/>
    <mergeCell ref="A2:M2"/>
    <mergeCell ref="A3:M3"/>
  </mergeCells>
  <dataValidations count="1">
    <dataValidation type="list" allowBlank="1" showInputMessage="1" showErrorMessage="1" sqref="D6:D35" xr:uid="{D53424B0-CD83-423A-84B5-2F9F74DD1201}">
      <formula1>Vereinsnamen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AB1B-EC88-4EBF-8F2D-92F497192082}">
  <dimension ref="A1:M53"/>
  <sheetViews>
    <sheetView zoomScale="80" zoomScaleNormal="80" workbookViewId="0">
      <selection activeCell="C30" sqref="C30:L30"/>
    </sheetView>
  </sheetViews>
  <sheetFormatPr baseColWidth="10" defaultRowHeight="15" x14ac:dyDescent="0.25"/>
  <cols>
    <col min="1" max="1" width="9.7109375" bestFit="1" customWidth="1"/>
    <col min="2" max="2" width="5.85546875" bestFit="1" customWidth="1"/>
    <col min="3" max="3" width="22.85546875" customWidth="1"/>
    <col min="4" max="4" width="19.7109375" customWidth="1"/>
    <col min="5" max="5" width="10.140625" bestFit="1" customWidth="1"/>
    <col min="6" max="6" width="10.42578125" bestFit="1" customWidth="1"/>
    <col min="7" max="7" width="10.5703125" bestFit="1" customWidth="1"/>
    <col min="8" max="8" width="11.7109375" bestFit="1" customWidth="1"/>
    <col min="9" max="9" width="9.140625" bestFit="1" customWidth="1"/>
    <col min="10" max="11" width="7.42578125" customWidth="1"/>
    <col min="12" max="12" width="10" customWidth="1"/>
  </cols>
  <sheetData>
    <row r="1" spans="1:13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3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13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5" spans="1:13" x14ac:dyDescent="0.25">
      <c r="A5" t="s">
        <v>3</v>
      </c>
      <c r="B5" t="s">
        <v>4</v>
      </c>
      <c r="C5" s="1" t="s">
        <v>5</v>
      </c>
      <c r="D5" s="1" t="s">
        <v>6</v>
      </c>
      <c r="E5" s="2" t="s">
        <v>74</v>
      </c>
      <c r="F5" s="1" t="s">
        <v>7</v>
      </c>
      <c r="G5" s="1" t="s">
        <v>8</v>
      </c>
      <c r="H5" s="1" t="s">
        <v>9</v>
      </c>
      <c r="I5" s="1" t="s">
        <v>113</v>
      </c>
      <c r="J5" s="1" t="s">
        <v>114</v>
      </c>
      <c r="K5" s="1" t="s">
        <v>115</v>
      </c>
      <c r="L5" s="1" t="s">
        <v>116</v>
      </c>
    </row>
    <row r="6" spans="1:13" x14ac:dyDescent="0.25">
      <c r="A6" s="1" t="s">
        <v>77</v>
      </c>
      <c r="B6" s="1" t="s">
        <v>77</v>
      </c>
      <c r="C6" s="1" t="s">
        <v>51</v>
      </c>
      <c r="D6" s="1" t="s">
        <v>25</v>
      </c>
      <c r="E6" s="3">
        <f>COUNTIF(Tabelle2.Runde[[#This Row],[1.Rd]:[2.Rd]],"&gt;399,9")</f>
        <v>2</v>
      </c>
      <c r="F6" s="1">
        <v>2</v>
      </c>
      <c r="G6" s="1">
        <v>2</v>
      </c>
      <c r="H6" s="2">
        <v>409.5</v>
      </c>
      <c r="I6" s="1"/>
      <c r="J6" s="6">
        <v>409.9</v>
      </c>
      <c r="K6" s="2">
        <v>409.1</v>
      </c>
      <c r="L6" s="2">
        <f>AVERAGE(Tabelle2.Runde[[#This Row],[1.Rd]:[2.Rd]])</f>
        <v>409.5</v>
      </c>
      <c r="M6" s="4"/>
    </row>
    <row r="7" spans="1:13" x14ac:dyDescent="0.25">
      <c r="A7" s="1" t="s">
        <v>78</v>
      </c>
      <c r="B7" s="1" t="s">
        <v>79</v>
      </c>
      <c r="C7" s="1" t="s">
        <v>55</v>
      </c>
      <c r="D7" s="1" t="s">
        <v>20</v>
      </c>
      <c r="E7" s="3">
        <f>COUNTIF(Tabelle2.Runde[[#This Row],[1.Rd]:[2.Rd]],"&gt;399,9")</f>
        <v>2</v>
      </c>
      <c r="F7" s="1">
        <v>2</v>
      </c>
      <c r="G7" s="1">
        <v>2</v>
      </c>
      <c r="H7" s="2">
        <v>404</v>
      </c>
      <c r="I7" s="1"/>
      <c r="J7" s="6">
        <v>406.4</v>
      </c>
      <c r="K7" s="2">
        <v>401.5</v>
      </c>
      <c r="L7" s="2">
        <f>AVERAGE(Tabelle2.Runde[[#This Row],[1.Rd]:[2.Rd]])</f>
        <v>403.95</v>
      </c>
      <c r="M7" s="4"/>
    </row>
    <row r="8" spans="1:13" x14ac:dyDescent="0.25">
      <c r="A8" s="1" t="s">
        <v>79</v>
      </c>
      <c r="B8" s="1" t="s">
        <v>80</v>
      </c>
      <c r="C8" s="1" t="s">
        <v>36</v>
      </c>
      <c r="D8" s="1" t="s">
        <v>26</v>
      </c>
      <c r="E8" s="3">
        <f>COUNTIF(Tabelle2.Runde[[#This Row],[1.Rd]:[2.Rd]],"&gt;399,9")</f>
        <v>1</v>
      </c>
      <c r="F8" s="1">
        <v>2</v>
      </c>
      <c r="G8" s="1">
        <v>2</v>
      </c>
      <c r="H8" s="2">
        <v>402.4</v>
      </c>
      <c r="I8" s="1"/>
      <c r="J8" s="6">
        <v>405.8</v>
      </c>
      <c r="K8" s="2">
        <v>398.9</v>
      </c>
      <c r="L8" s="2">
        <f>AVERAGE(Tabelle2.Runde[[#This Row],[1.Rd]:[2.Rd]])</f>
        <v>402.35</v>
      </c>
      <c r="M8" s="4"/>
    </row>
    <row r="9" spans="1:13" x14ac:dyDescent="0.25">
      <c r="A9" s="1" t="s">
        <v>80</v>
      </c>
      <c r="B9" s="1" t="s">
        <v>82</v>
      </c>
      <c r="C9" s="1" t="s">
        <v>44</v>
      </c>
      <c r="D9" s="1" t="s">
        <v>27</v>
      </c>
      <c r="E9" s="3">
        <f>COUNTIF(Tabelle2.Runde[[#This Row],[1.Rd]:[2.Rd]],"&gt;399,9")</f>
        <v>1</v>
      </c>
      <c r="F9" s="1">
        <v>1</v>
      </c>
      <c r="G9" s="1">
        <v>2</v>
      </c>
      <c r="H9" s="2">
        <v>398.4</v>
      </c>
      <c r="I9" s="1"/>
      <c r="J9" s="6">
        <v>401.1</v>
      </c>
      <c r="K9" s="2">
        <v>395.7</v>
      </c>
      <c r="L9" s="2">
        <f>AVERAGE(Tabelle2.Runde[[#This Row],[1.Rd]:[2.Rd]])</f>
        <v>398.4</v>
      </c>
      <c r="M9" s="4"/>
    </row>
    <row r="10" spans="1:13" x14ac:dyDescent="0.25">
      <c r="A10" s="1" t="s">
        <v>81</v>
      </c>
      <c r="B10" s="1" t="s">
        <v>85</v>
      </c>
      <c r="C10" s="1" t="s">
        <v>37</v>
      </c>
      <c r="D10" s="1" t="s">
        <v>26</v>
      </c>
      <c r="E10" s="3">
        <f>COUNTIF(Tabelle2.Runde[[#This Row],[1.Rd]:[2.Rd]],"&gt;399,9")</f>
        <v>0</v>
      </c>
      <c r="F10" s="1">
        <v>1</v>
      </c>
      <c r="G10" s="1">
        <v>2</v>
      </c>
      <c r="H10" s="2">
        <v>397.5</v>
      </c>
      <c r="I10" s="1"/>
      <c r="J10" s="6">
        <v>397</v>
      </c>
      <c r="K10" s="2">
        <v>397.9</v>
      </c>
      <c r="L10" s="2">
        <f>AVERAGE(Tabelle2.Runde[[#This Row],[1.Rd]:[2.Rd]])</f>
        <v>397.45</v>
      </c>
      <c r="M10" s="4"/>
    </row>
    <row r="11" spans="1:13" x14ac:dyDescent="0.25">
      <c r="A11" s="1" t="s">
        <v>82</v>
      </c>
      <c r="B11" s="1" t="s">
        <v>84</v>
      </c>
      <c r="C11" s="1" t="s">
        <v>42</v>
      </c>
      <c r="D11" s="1" t="s">
        <v>27</v>
      </c>
      <c r="E11" s="3">
        <f>COUNTIF(Tabelle2.Runde[[#This Row],[1.Rd]:[2.Rd]],"&gt;399,9")</f>
        <v>0</v>
      </c>
      <c r="F11" s="1">
        <v>1</v>
      </c>
      <c r="G11" s="1">
        <v>2</v>
      </c>
      <c r="H11" s="2">
        <v>397.3</v>
      </c>
      <c r="I11" s="1"/>
      <c r="J11" s="6">
        <v>397.6</v>
      </c>
      <c r="K11" s="2">
        <v>396.9</v>
      </c>
      <c r="L11" s="2">
        <f>AVERAGE(Tabelle2.Runde[[#This Row],[1.Rd]:[2.Rd]])</f>
        <v>397.25</v>
      </c>
      <c r="M11" s="4"/>
    </row>
    <row r="12" spans="1:13" x14ac:dyDescent="0.25">
      <c r="A12" s="1" t="s">
        <v>83</v>
      </c>
      <c r="B12" s="1" t="s">
        <v>86</v>
      </c>
      <c r="C12" s="1" t="s">
        <v>56</v>
      </c>
      <c r="D12" s="1" t="s">
        <v>20</v>
      </c>
      <c r="E12" s="3">
        <f>COUNTIF(Tabelle2.Runde[[#This Row],[1.Rd]:[2.Rd]],"&gt;399,9")</f>
        <v>0</v>
      </c>
      <c r="F12" s="1">
        <v>1</v>
      </c>
      <c r="G12" s="1">
        <v>2</v>
      </c>
      <c r="H12" s="2">
        <v>395.6</v>
      </c>
      <c r="I12" s="1"/>
      <c r="J12" s="6">
        <v>392.3</v>
      </c>
      <c r="K12" s="2">
        <v>398.8</v>
      </c>
      <c r="L12" s="2">
        <f>AVERAGE(Tabelle2.Runde[[#This Row],[1.Rd]:[2.Rd]])</f>
        <v>395.55</v>
      </c>
      <c r="M12" s="4"/>
    </row>
    <row r="13" spans="1:13" x14ac:dyDescent="0.25">
      <c r="A13" s="1" t="s">
        <v>84</v>
      </c>
      <c r="B13" s="1" t="s">
        <v>81</v>
      </c>
      <c r="C13" s="1" t="s">
        <v>75</v>
      </c>
      <c r="D13" s="1" t="s">
        <v>25</v>
      </c>
      <c r="E13" s="3">
        <f>COUNTIF(Tabelle2.Runde[[#This Row],[1.Rd]:[2.Rd]],"&gt;399,9")</f>
        <v>1</v>
      </c>
      <c r="F13" s="1">
        <v>1</v>
      </c>
      <c r="G13" s="1">
        <v>2</v>
      </c>
      <c r="H13" s="2">
        <v>394.9</v>
      </c>
      <c r="I13" s="1"/>
      <c r="J13" s="6">
        <v>401.2</v>
      </c>
      <c r="K13" s="2">
        <v>388.5</v>
      </c>
      <c r="L13" s="2">
        <f>AVERAGE(Tabelle2.Runde[[#This Row],[1.Rd]:[2.Rd]])</f>
        <v>394.85</v>
      </c>
      <c r="M13" s="4"/>
    </row>
    <row r="14" spans="1:13" x14ac:dyDescent="0.25">
      <c r="A14" s="1" t="s">
        <v>85</v>
      </c>
      <c r="B14" s="1" t="s">
        <v>92</v>
      </c>
      <c r="C14" s="1" t="s">
        <v>54</v>
      </c>
      <c r="D14" s="1" t="s">
        <v>20</v>
      </c>
      <c r="E14" s="3">
        <f>COUNTIF(Tabelle2.Runde[[#This Row],[1.Rd]:[2.Rd]],"&gt;399,9")</f>
        <v>0</v>
      </c>
      <c r="F14" s="1">
        <v>1</v>
      </c>
      <c r="G14" s="1">
        <v>2</v>
      </c>
      <c r="H14" s="2">
        <v>391.6</v>
      </c>
      <c r="I14" s="1"/>
      <c r="J14" s="6">
        <v>395.1</v>
      </c>
      <c r="K14" s="2">
        <v>388</v>
      </c>
      <c r="L14" s="2">
        <f>AVERAGE(Tabelle2.Runde[[#This Row],[1.Rd]:[2.Rd]])</f>
        <v>391.55</v>
      </c>
      <c r="M14" s="4"/>
    </row>
    <row r="15" spans="1:13" x14ac:dyDescent="0.25">
      <c r="A15" s="1" t="s">
        <v>86</v>
      </c>
      <c r="B15" s="1" t="s">
        <v>95</v>
      </c>
      <c r="C15" s="1" t="s">
        <v>40</v>
      </c>
      <c r="D15" s="1" t="s">
        <v>23</v>
      </c>
      <c r="E15" s="3">
        <f>COUNTIF(Tabelle2.Runde[[#This Row],[1.Rd]:[2.Rd]],"&gt;399,9")</f>
        <v>0</v>
      </c>
      <c r="F15" s="1">
        <v>1</v>
      </c>
      <c r="G15" s="1">
        <v>2</v>
      </c>
      <c r="H15" s="6">
        <v>391.5</v>
      </c>
      <c r="I15" s="1"/>
      <c r="J15" s="6">
        <v>391.5</v>
      </c>
      <c r="K15" s="2">
        <v>394.9</v>
      </c>
      <c r="L15" s="2">
        <f>AVERAGE(Tabelle2.Runde[[#This Row],[1.Rd]:[2.Rd]])</f>
        <v>393.2</v>
      </c>
      <c r="M15" s="4"/>
    </row>
    <row r="16" spans="1:13" x14ac:dyDescent="0.25">
      <c r="A16" s="1" t="s">
        <v>87</v>
      </c>
      <c r="B16" s="1" t="s">
        <v>87</v>
      </c>
      <c r="C16" s="1" t="s">
        <v>34</v>
      </c>
      <c r="D16" s="1" t="s">
        <v>28</v>
      </c>
      <c r="E16" s="3">
        <f>COUNTIF(Tabelle2.Runde[[#This Row],[1.Rd]:[2.Rd]],"&gt;399,9")</f>
        <v>0</v>
      </c>
      <c r="F16" s="1">
        <v>1</v>
      </c>
      <c r="G16" s="1">
        <v>2</v>
      </c>
      <c r="H16" s="2">
        <v>388.9</v>
      </c>
      <c r="I16" s="1"/>
      <c r="J16" s="6">
        <v>390.5</v>
      </c>
      <c r="K16" s="2">
        <v>387.3</v>
      </c>
      <c r="L16" s="2">
        <f>AVERAGE(Tabelle2.Runde[[#This Row],[1.Rd]:[2.Rd]])</f>
        <v>388.9</v>
      </c>
      <c r="M16" s="4"/>
    </row>
    <row r="17" spans="1:13" x14ac:dyDescent="0.25">
      <c r="A17" s="1" t="s">
        <v>88</v>
      </c>
      <c r="B17" s="1" t="s">
        <v>88</v>
      </c>
      <c r="C17" s="1" t="s">
        <v>38</v>
      </c>
      <c r="D17" s="1" t="s">
        <v>26</v>
      </c>
      <c r="E17" s="3">
        <f>COUNTIF(Tabelle2.Runde[[#This Row],[1.Rd]:[2.Rd]],"&gt;399,9")</f>
        <v>0</v>
      </c>
      <c r="F17" s="1">
        <v>1</v>
      </c>
      <c r="G17" s="1">
        <v>2</v>
      </c>
      <c r="H17" s="2">
        <v>386.5</v>
      </c>
      <c r="I17" s="1"/>
      <c r="J17" s="6">
        <v>384.1</v>
      </c>
      <c r="K17" s="2">
        <v>388.9</v>
      </c>
      <c r="L17" s="2">
        <f>AVERAGE(Tabelle2.Runde[[#This Row],[1.Rd]:[2.Rd]])</f>
        <v>386.5</v>
      </c>
      <c r="M17" s="4"/>
    </row>
    <row r="18" spans="1:13" x14ac:dyDescent="0.25">
      <c r="A18" s="1" t="s">
        <v>89</v>
      </c>
      <c r="B18" s="1" t="s">
        <v>106</v>
      </c>
      <c r="C18" s="1" t="s">
        <v>30</v>
      </c>
      <c r="D18" s="1" t="s">
        <v>24</v>
      </c>
      <c r="E18" s="3">
        <f>COUNTIF(Tabelle2.Runde[[#This Row],[1.Rd]:[2.Rd]],"&gt;399,9")</f>
        <v>1</v>
      </c>
      <c r="F18" s="1">
        <v>1</v>
      </c>
      <c r="G18" s="1">
        <v>2</v>
      </c>
      <c r="H18" s="2">
        <v>354</v>
      </c>
      <c r="I18" s="1"/>
      <c r="J18" s="6">
        <v>305.2</v>
      </c>
      <c r="K18" s="2">
        <v>402.8</v>
      </c>
      <c r="L18" s="2">
        <f>AVERAGE(Tabelle2.Runde[[#This Row],[1.Rd]:[2.Rd]])</f>
        <v>354</v>
      </c>
      <c r="M18" s="4"/>
    </row>
    <row r="19" spans="1:13" x14ac:dyDescent="0.25">
      <c r="A19" s="1" t="s">
        <v>90</v>
      </c>
      <c r="B19" s="1"/>
      <c r="C19" s="1" t="s">
        <v>63</v>
      </c>
      <c r="D19" s="1" t="s">
        <v>24</v>
      </c>
      <c r="E19" s="3">
        <f>COUNTIF(Tabelle2.Runde[[#This Row],[1.Rd]:[2.Rd]],"&gt;399,9")</f>
        <v>1</v>
      </c>
      <c r="F19" s="1">
        <v>1</v>
      </c>
      <c r="G19" s="1">
        <v>1</v>
      </c>
      <c r="H19" s="2">
        <v>416.9</v>
      </c>
      <c r="I19" s="1"/>
      <c r="J19" s="4"/>
      <c r="K19" s="2">
        <v>416.9</v>
      </c>
      <c r="L19" s="2">
        <f>AVERAGE(Tabelle2.Runde[[#This Row],[1.Rd]:[2.Rd]])</f>
        <v>416.9</v>
      </c>
      <c r="M19" s="4"/>
    </row>
    <row r="20" spans="1:13" x14ac:dyDescent="0.25">
      <c r="A20" s="1" t="s">
        <v>91</v>
      </c>
      <c r="B20" s="1" t="s">
        <v>78</v>
      </c>
      <c r="C20" s="1" t="s">
        <v>43</v>
      </c>
      <c r="D20" s="1" t="s">
        <v>27</v>
      </c>
      <c r="E20" s="3">
        <f>COUNTIF(Tabelle2.Runde[[#This Row],[1.Rd]:[2.Rd]],"&gt;399,9")</f>
        <v>1</v>
      </c>
      <c r="F20" s="1">
        <v>1</v>
      </c>
      <c r="G20" s="1">
        <v>1</v>
      </c>
      <c r="H20" s="6">
        <v>408.2</v>
      </c>
      <c r="I20" s="1"/>
      <c r="J20" s="6">
        <v>408.2</v>
      </c>
      <c r="K20" s="2"/>
      <c r="L20" s="2">
        <f>AVERAGE(Tabelle2.Runde[[#This Row],[1.Rd]:[2.Rd]])</f>
        <v>408.2</v>
      </c>
      <c r="M20" s="4"/>
    </row>
    <row r="21" spans="1:13" x14ac:dyDescent="0.25">
      <c r="A21" s="1" t="s">
        <v>92</v>
      </c>
      <c r="B21" s="1"/>
      <c r="C21" s="1" t="s">
        <v>66</v>
      </c>
      <c r="D21" s="1" t="s">
        <v>23</v>
      </c>
      <c r="E21" s="3">
        <f>COUNTIF(Tabelle2.Runde[[#This Row],[1.Rd]:[2.Rd]],"&gt;399,9")</f>
        <v>1</v>
      </c>
      <c r="F21" s="1">
        <v>1</v>
      </c>
      <c r="G21" s="1">
        <v>1</v>
      </c>
      <c r="H21" s="2">
        <v>407.2</v>
      </c>
      <c r="I21" s="1"/>
      <c r="J21" s="2"/>
      <c r="K21" s="2">
        <v>407.2</v>
      </c>
      <c r="L21" s="2">
        <f>AVERAGE(Tabelle2.Runde[[#This Row],[1.Rd]:[2.Rd]])</f>
        <v>407.2</v>
      </c>
      <c r="M21" s="4"/>
    </row>
    <row r="22" spans="1:13" x14ac:dyDescent="0.25">
      <c r="A22" s="1" t="s">
        <v>93</v>
      </c>
      <c r="B22" s="1" t="s">
        <v>83</v>
      </c>
      <c r="C22" s="1" t="s">
        <v>32</v>
      </c>
      <c r="D22" s="1" t="s">
        <v>24</v>
      </c>
      <c r="E22" s="3">
        <f>COUNTIF(Tabelle2.Runde[[#This Row],[1.Rd]:[2.Rd]],"&gt;399,9")</f>
        <v>0</v>
      </c>
      <c r="F22" s="1">
        <v>1</v>
      </c>
      <c r="G22" s="1">
        <v>1</v>
      </c>
      <c r="H22" s="6">
        <v>398.8</v>
      </c>
      <c r="I22" s="1"/>
      <c r="J22" s="6">
        <v>398.8</v>
      </c>
      <c r="K22" s="2"/>
      <c r="L22" s="2">
        <f>AVERAGE(Tabelle2.Runde[[#This Row],[1.Rd]:[2.Rd]])</f>
        <v>398.8</v>
      </c>
      <c r="M22" s="4"/>
    </row>
    <row r="23" spans="1:13" x14ac:dyDescent="0.25">
      <c r="A23" s="1" t="s">
        <v>94</v>
      </c>
      <c r="B23" s="1"/>
      <c r="C23" s="1" t="s">
        <v>65</v>
      </c>
      <c r="D23" s="1" t="s">
        <v>27</v>
      </c>
      <c r="E23" s="3">
        <f>COUNTIF(Tabelle2.Runde[[#This Row],[1.Rd]:[2.Rd]],"&gt;399,9")</f>
        <v>0</v>
      </c>
      <c r="F23" s="1">
        <v>1</v>
      </c>
      <c r="G23" s="1">
        <v>1</v>
      </c>
      <c r="H23" s="2">
        <v>392</v>
      </c>
      <c r="I23" s="1"/>
      <c r="J23" s="4"/>
      <c r="K23" s="2">
        <v>392</v>
      </c>
      <c r="L23" s="2">
        <f>AVERAGE(Tabelle2.Runde[[#This Row],[1.Rd]:[2.Rd]])</f>
        <v>392</v>
      </c>
      <c r="M23" s="4"/>
    </row>
    <row r="24" spans="1:13" x14ac:dyDescent="0.25">
      <c r="A24" s="1" t="s">
        <v>95</v>
      </c>
      <c r="B24" s="1" t="s">
        <v>90</v>
      </c>
      <c r="C24" s="1" t="s">
        <v>39</v>
      </c>
      <c r="D24" s="1" t="s">
        <v>23</v>
      </c>
      <c r="E24" s="3">
        <f>COUNTIF(Tabelle2.Runde[[#This Row],[1.Rd]:[2.Rd]],"&gt;399,9")</f>
        <v>0</v>
      </c>
      <c r="F24" s="1">
        <v>0</v>
      </c>
      <c r="G24" s="1">
        <v>2</v>
      </c>
      <c r="H24" s="6">
        <v>398</v>
      </c>
      <c r="I24" s="1"/>
      <c r="J24" s="6">
        <v>397.2</v>
      </c>
      <c r="K24" s="2">
        <v>398.7</v>
      </c>
      <c r="L24" s="2">
        <f>AVERAGE(Tabelle2.Runde[[#This Row],[1.Rd]:[2.Rd]])</f>
        <v>397.95</v>
      </c>
      <c r="M24" s="4"/>
    </row>
    <row r="25" spans="1:13" x14ac:dyDescent="0.25">
      <c r="A25" s="1" t="s">
        <v>96</v>
      </c>
      <c r="B25" s="1" t="s">
        <v>91</v>
      </c>
      <c r="C25" s="1" t="s">
        <v>48</v>
      </c>
      <c r="D25" s="1" t="s">
        <v>29</v>
      </c>
      <c r="E25" s="3">
        <f>COUNTIF(Tabelle2.Runde[[#This Row],[1.Rd]:[2.Rd]],"&gt;399,9")</f>
        <v>0</v>
      </c>
      <c r="F25" s="1">
        <v>0</v>
      </c>
      <c r="G25" s="1">
        <v>2</v>
      </c>
      <c r="H25" s="6">
        <v>397.9</v>
      </c>
      <c r="I25" s="1"/>
      <c r="J25" s="6">
        <v>397.2</v>
      </c>
      <c r="K25" s="2">
        <v>398.6</v>
      </c>
      <c r="L25" s="2">
        <f>AVERAGE(Tabelle2.Runde[[#This Row],[1.Rd]:[2.Rd]])</f>
        <v>397.9</v>
      </c>
      <c r="M25" s="4"/>
    </row>
    <row r="26" spans="1:13" x14ac:dyDescent="0.25">
      <c r="A26" s="1" t="s">
        <v>97</v>
      </c>
      <c r="B26" s="1" t="s">
        <v>89</v>
      </c>
      <c r="C26" s="1" t="s">
        <v>33</v>
      </c>
      <c r="D26" s="1" t="s">
        <v>28</v>
      </c>
      <c r="E26" s="3">
        <f>COUNTIF(Tabelle2.Runde[[#This Row],[1.Rd]:[2.Rd]],"&gt;399,9")</f>
        <v>1</v>
      </c>
      <c r="F26" s="1">
        <v>0</v>
      </c>
      <c r="G26" s="1">
        <v>2</v>
      </c>
      <c r="H26" s="2">
        <v>397.2</v>
      </c>
      <c r="I26" s="1"/>
      <c r="J26" s="6">
        <v>400.8</v>
      </c>
      <c r="K26" s="2">
        <v>393.6</v>
      </c>
      <c r="L26" s="2">
        <f>AVERAGE(Tabelle2.Runde[[#This Row],[1.Rd]:[2.Rd]])</f>
        <v>397.20000000000005</v>
      </c>
      <c r="M26" s="4"/>
    </row>
    <row r="27" spans="1:13" x14ac:dyDescent="0.25">
      <c r="A27" s="1" t="s">
        <v>98</v>
      </c>
      <c r="B27" s="1" t="s">
        <v>94</v>
      </c>
      <c r="C27" s="1" t="s">
        <v>46</v>
      </c>
      <c r="D27" s="1" t="s">
        <v>22</v>
      </c>
      <c r="E27" s="3">
        <f>COUNTIF(Tabelle2.Runde[[#This Row],[1.Rd]:[2.Rd]],"&gt;399,9")</f>
        <v>0</v>
      </c>
      <c r="F27" s="1">
        <v>0</v>
      </c>
      <c r="G27" s="1">
        <v>2</v>
      </c>
      <c r="H27" s="2">
        <v>391.8</v>
      </c>
      <c r="I27" s="1"/>
      <c r="J27" s="6">
        <v>394.2</v>
      </c>
      <c r="K27" s="2">
        <v>389.4</v>
      </c>
      <c r="L27" s="2">
        <f>AVERAGE(Tabelle2.Runde[[#This Row],[1.Rd]:[2.Rd]])</f>
        <v>391.79999999999995</v>
      </c>
      <c r="M27" s="4"/>
    </row>
    <row r="28" spans="1:13" x14ac:dyDescent="0.25">
      <c r="A28" s="1" t="s">
        <v>99</v>
      </c>
      <c r="B28" s="1" t="s">
        <v>97</v>
      </c>
      <c r="C28" s="1" t="s">
        <v>35</v>
      </c>
      <c r="D28" s="1" t="s">
        <v>28</v>
      </c>
      <c r="E28" s="3">
        <f>COUNTIF(Tabelle2.Runde[[#This Row],[1.Rd]:[2.Rd]],"&gt;399,9")</f>
        <v>0</v>
      </c>
      <c r="F28" s="1">
        <v>0</v>
      </c>
      <c r="G28" s="1">
        <v>2</v>
      </c>
      <c r="H28" s="2">
        <v>386.7</v>
      </c>
      <c r="I28" s="1"/>
      <c r="J28" s="6">
        <v>389.5</v>
      </c>
      <c r="K28" s="2">
        <v>383.9</v>
      </c>
      <c r="L28" s="2">
        <f>AVERAGE(Tabelle2.Runde[[#This Row],[1.Rd]:[2.Rd]])</f>
        <v>386.7</v>
      </c>
      <c r="M28" s="4"/>
    </row>
    <row r="29" spans="1:13" x14ac:dyDescent="0.25">
      <c r="A29" s="1" t="s">
        <v>100</v>
      </c>
      <c r="B29" s="1" t="s">
        <v>100</v>
      </c>
      <c r="C29" s="1" t="s">
        <v>58</v>
      </c>
      <c r="D29" s="1" t="s">
        <v>21</v>
      </c>
      <c r="E29" s="3">
        <f>COUNTIF(Tabelle2.Runde[[#This Row],[1.Rd]:[2.Rd]],"&gt;399,9")</f>
        <v>0</v>
      </c>
      <c r="F29" s="1">
        <v>0</v>
      </c>
      <c r="G29" s="1">
        <v>2</v>
      </c>
      <c r="H29" s="2">
        <v>385.9</v>
      </c>
      <c r="I29" s="1"/>
      <c r="J29" s="6">
        <v>381.5</v>
      </c>
      <c r="K29" s="2">
        <v>390.3</v>
      </c>
      <c r="L29" s="2">
        <f>AVERAGE(Tabelle2.Runde[[#This Row],[1.Rd]:[2.Rd]])</f>
        <v>385.9</v>
      </c>
      <c r="M29" s="4"/>
    </row>
    <row r="30" spans="1:13" x14ac:dyDescent="0.25">
      <c r="A30" s="1" t="s">
        <v>101</v>
      </c>
      <c r="B30" s="1" t="s">
        <v>99</v>
      </c>
      <c r="C30" s="1" t="s">
        <v>59</v>
      </c>
      <c r="D30" s="1" t="s">
        <v>21</v>
      </c>
      <c r="E30" s="3">
        <f>COUNTIF(Tabelle2.Runde[[#This Row],[1.Rd]:[2.Rd]],"&gt;399,9")</f>
        <v>0</v>
      </c>
      <c r="F30" s="1">
        <v>0</v>
      </c>
      <c r="G30" s="1">
        <v>2</v>
      </c>
      <c r="H30" s="2">
        <v>377.6</v>
      </c>
      <c r="I30" s="1"/>
      <c r="J30" s="6">
        <v>384.3</v>
      </c>
      <c r="K30" s="2">
        <v>370.8</v>
      </c>
      <c r="L30" s="2">
        <f>AVERAGE(Tabelle2.Runde[[#This Row],[1.Rd]:[2.Rd]])</f>
        <v>377.55</v>
      </c>
      <c r="M30" s="4"/>
    </row>
    <row r="31" spans="1:13" x14ac:dyDescent="0.25">
      <c r="A31" s="1" t="s">
        <v>102</v>
      </c>
      <c r="B31" s="1" t="s">
        <v>102</v>
      </c>
      <c r="C31" s="1" t="s">
        <v>47</v>
      </c>
      <c r="D31" s="1" t="s">
        <v>22</v>
      </c>
      <c r="E31" s="3">
        <f>COUNTIF(Tabelle2.Runde[[#This Row],[1.Rd]:[2.Rd]],"&gt;399,9")</f>
        <v>0</v>
      </c>
      <c r="F31" s="1">
        <v>0</v>
      </c>
      <c r="G31" s="1">
        <v>2</v>
      </c>
      <c r="H31" s="2">
        <v>376.6</v>
      </c>
      <c r="I31" s="1"/>
      <c r="J31" s="6">
        <v>375.7</v>
      </c>
      <c r="K31" s="2">
        <v>377.4</v>
      </c>
      <c r="L31" s="2">
        <f>AVERAGE(Tabelle2.Runde[[#This Row],[1.Rd]:[2.Rd]])</f>
        <v>376.54999999999995</v>
      </c>
      <c r="M31" s="4"/>
    </row>
    <row r="32" spans="1:13" x14ac:dyDescent="0.25">
      <c r="A32" s="1" t="s">
        <v>103</v>
      </c>
      <c r="B32" s="1"/>
      <c r="C32" s="1" t="s">
        <v>67</v>
      </c>
      <c r="D32" s="1" t="s">
        <v>29</v>
      </c>
      <c r="E32" s="3">
        <f>COUNTIF(Tabelle2.Runde[[#This Row],[1.Rd]:[2.Rd]],"&gt;399,9")</f>
        <v>1</v>
      </c>
      <c r="F32" s="1">
        <v>0</v>
      </c>
      <c r="G32" s="1">
        <v>1</v>
      </c>
      <c r="H32" s="2">
        <v>405.3</v>
      </c>
      <c r="I32" s="1"/>
      <c r="J32" s="2"/>
      <c r="K32" s="2">
        <v>405.3</v>
      </c>
      <c r="L32" s="2">
        <f>AVERAGE(Tabelle2.Runde[[#This Row],[1.Rd]:[2.Rd]])</f>
        <v>405.3</v>
      </c>
      <c r="M32" s="4"/>
    </row>
    <row r="33" spans="1:13" x14ac:dyDescent="0.25">
      <c r="A33" s="1" t="s">
        <v>104</v>
      </c>
      <c r="B33" s="1" t="s">
        <v>93</v>
      </c>
      <c r="C33" s="1" t="s">
        <v>76</v>
      </c>
      <c r="D33" s="1" t="s">
        <v>21</v>
      </c>
      <c r="E33" s="3">
        <f>COUNTIF(Tabelle2.Runde[[#This Row],[1.Rd]:[2.Rd]],"&gt;399,9")</f>
        <v>0</v>
      </c>
      <c r="F33" s="1">
        <v>0</v>
      </c>
      <c r="G33" s="1">
        <v>1</v>
      </c>
      <c r="H33" s="6">
        <v>395.1</v>
      </c>
      <c r="I33" s="1"/>
      <c r="J33" s="6">
        <v>395.1</v>
      </c>
      <c r="K33" s="2"/>
      <c r="L33" s="2">
        <f>AVERAGE(Tabelle2.Runde[[#This Row],[1.Rd]:[2.Rd]])</f>
        <v>395.1</v>
      </c>
      <c r="M33" s="4"/>
    </row>
    <row r="34" spans="1:13" x14ac:dyDescent="0.25">
      <c r="A34" s="1" t="s">
        <v>105</v>
      </c>
      <c r="B34" s="1"/>
      <c r="C34" s="1" t="s">
        <v>68</v>
      </c>
      <c r="D34" s="1" t="s">
        <v>29</v>
      </c>
      <c r="E34" s="3">
        <f>COUNTIF(Tabelle2.Runde[[#This Row],[1.Rd]:[2.Rd]],"&gt;399,9")</f>
        <v>0</v>
      </c>
      <c r="F34" s="1">
        <v>0</v>
      </c>
      <c r="G34" s="1">
        <v>1</v>
      </c>
      <c r="H34" s="2">
        <v>391.7</v>
      </c>
      <c r="I34" s="1"/>
      <c r="J34" s="2"/>
      <c r="K34" s="2">
        <v>391.7</v>
      </c>
      <c r="L34" s="2">
        <f>AVERAGE(Tabelle2.Runde[[#This Row],[1.Rd]:[2.Rd]])</f>
        <v>391.7</v>
      </c>
      <c r="M34" s="4"/>
    </row>
    <row r="35" spans="1:13" x14ac:dyDescent="0.25">
      <c r="A35" s="1" t="s">
        <v>106</v>
      </c>
      <c r="B35" s="1" t="s">
        <v>97</v>
      </c>
      <c r="C35" s="1" t="s">
        <v>49</v>
      </c>
      <c r="D35" s="1" t="s">
        <v>29</v>
      </c>
      <c r="E35" s="3">
        <f>COUNTIF(Tabelle2.Runde[[#This Row],[1.Rd]:[2.Rd]],"&gt;399,9")</f>
        <v>0</v>
      </c>
      <c r="F35" s="1">
        <v>0</v>
      </c>
      <c r="G35" s="1">
        <v>1</v>
      </c>
      <c r="H35" s="6">
        <v>391.3</v>
      </c>
      <c r="I35" s="1"/>
      <c r="J35" s="6">
        <v>391.3</v>
      </c>
      <c r="K35" s="2"/>
      <c r="L35" s="2">
        <f>AVERAGE(Tabelle2.Runde[[#This Row],[1.Rd]:[2.Rd]])</f>
        <v>391.3</v>
      </c>
      <c r="M35" s="4"/>
    </row>
    <row r="36" spans="1:13" x14ac:dyDescent="0.25">
      <c r="A36" s="1" t="s">
        <v>107</v>
      </c>
      <c r="B36" s="1" t="s">
        <v>98</v>
      </c>
      <c r="C36" s="1" t="s">
        <v>45</v>
      </c>
      <c r="D36" s="1" t="s">
        <v>22</v>
      </c>
      <c r="E36" s="3">
        <f>COUNTIF(Tabelle2.Runde[[#This Row],[1.Rd]:[2.Rd]],"&gt;399,9")</f>
        <v>0</v>
      </c>
      <c r="F36" s="1">
        <v>0</v>
      </c>
      <c r="G36" s="1">
        <v>1</v>
      </c>
      <c r="H36" s="6">
        <v>385.8</v>
      </c>
      <c r="I36" s="1"/>
      <c r="J36" s="6">
        <v>385.8</v>
      </c>
      <c r="K36" s="2"/>
      <c r="L36" s="2">
        <f>AVERAGE(Tabelle2.Runde[[#This Row],[1.Rd]:[2.Rd]])</f>
        <v>385.8</v>
      </c>
      <c r="M36" s="4"/>
    </row>
    <row r="37" spans="1:13" x14ac:dyDescent="0.25">
      <c r="A37" s="1" t="s">
        <v>108</v>
      </c>
      <c r="B37" s="1"/>
      <c r="C37" s="1" t="s">
        <v>64</v>
      </c>
      <c r="D37" s="1" t="s">
        <v>24</v>
      </c>
      <c r="E37" s="3">
        <f>COUNTIF(Tabelle2.Runde[[#This Row],[1.Rd]:[2.Rd]],"&gt;399,9")</f>
        <v>0</v>
      </c>
      <c r="F37" s="1">
        <v>0</v>
      </c>
      <c r="G37" s="1">
        <v>1</v>
      </c>
      <c r="H37" s="2">
        <v>382</v>
      </c>
      <c r="I37" s="1"/>
      <c r="J37" s="4"/>
      <c r="K37" s="2">
        <v>382</v>
      </c>
      <c r="L37" s="2">
        <f>AVERAGE(Tabelle2.Runde[[#This Row],[1.Rd]:[2.Rd]])</f>
        <v>382</v>
      </c>
      <c r="M37" s="4"/>
    </row>
    <row r="38" spans="1:13" x14ac:dyDescent="0.25">
      <c r="A38" s="1" t="s">
        <v>109</v>
      </c>
      <c r="B38" s="1"/>
      <c r="C38" s="1" t="s">
        <v>62</v>
      </c>
      <c r="D38" s="1" t="s">
        <v>21</v>
      </c>
      <c r="E38" s="3">
        <f>COUNTIF(Tabelle2.Runde[[#This Row],[1.Rd]:[2.Rd]],"&gt;399,9")</f>
        <v>0</v>
      </c>
      <c r="F38" s="1">
        <v>0</v>
      </c>
      <c r="G38" s="1">
        <v>1</v>
      </c>
      <c r="H38" s="2">
        <v>381.8</v>
      </c>
      <c r="I38" s="1"/>
      <c r="J38" s="4"/>
      <c r="K38" s="2">
        <v>381.8</v>
      </c>
      <c r="L38" s="2">
        <f>AVERAGE(Tabelle2.Runde[[#This Row],[1.Rd]:[2.Rd]])</f>
        <v>381.8</v>
      </c>
      <c r="M38" s="4"/>
    </row>
    <row r="39" spans="1:13" x14ac:dyDescent="0.25">
      <c r="A39" s="1" t="s">
        <v>110</v>
      </c>
      <c r="B39" s="1" t="s">
        <v>101</v>
      </c>
      <c r="C39" s="1" t="s">
        <v>31</v>
      </c>
      <c r="D39" s="1" t="s">
        <v>24</v>
      </c>
      <c r="E39" s="3">
        <f>COUNTIF(Tabelle2.Runde[[#This Row],[1.Rd]:[2.Rd]],"&gt;399,9")</f>
        <v>0</v>
      </c>
      <c r="F39" s="1">
        <v>0</v>
      </c>
      <c r="G39" s="1">
        <v>1</v>
      </c>
      <c r="H39" s="6">
        <v>380.4</v>
      </c>
      <c r="I39" s="1"/>
      <c r="J39" s="6">
        <v>380.4</v>
      </c>
      <c r="K39" s="2"/>
      <c r="L39" s="2">
        <f>AVERAGE(Tabelle2.Runde[[#This Row],[1.Rd]:[2.Rd]])</f>
        <v>380.4</v>
      </c>
      <c r="M39" s="4"/>
    </row>
    <row r="40" spans="1:13" x14ac:dyDescent="0.25">
      <c r="A40" s="1" t="s">
        <v>111</v>
      </c>
      <c r="B40" s="1"/>
      <c r="C40" s="1" t="s">
        <v>60</v>
      </c>
      <c r="D40" s="1" t="s">
        <v>22</v>
      </c>
      <c r="E40" s="3">
        <f>COUNTIF(Tabelle2.Runde[[#This Row],[1.Rd]:[2.Rd]],"&gt;399,9")</f>
        <v>0</v>
      </c>
      <c r="F40" s="1">
        <v>0</v>
      </c>
      <c r="G40" s="1">
        <v>1</v>
      </c>
      <c r="H40" s="2">
        <v>378.9</v>
      </c>
      <c r="I40" s="1"/>
      <c r="J40" s="4"/>
      <c r="K40" s="2">
        <v>378.9</v>
      </c>
      <c r="L40" s="2">
        <f>AVERAGE(Tabelle2.Runde[[#This Row],[1.Rd]:[2.Rd]])</f>
        <v>378.9</v>
      </c>
      <c r="M40" s="4"/>
    </row>
    <row r="41" spans="1:13" x14ac:dyDescent="0.25">
      <c r="A41" s="1" t="s">
        <v>112</v>
      </c>
      <c r="B41" s="1"/>
      <c r="C41" s="1" t="s">
        <v>61</v>
      </c>
      <c r="D41" s="1" t="s">
        <v>25</v>
      </c>
      <c r="E41" s="3">
        <f>COUNTIF(Tabelle2.Runde[[#This Row],[1.Rd]:[2.Rd]],"&gt;399,9")</f>
        <v>0</v>
      </c>
      <c r="F41" s="1">
        <v>0</v>
      </c>
      <c r="G41" s="1">
        <v>1</v>
      </c>
      <c r="H41" s="2">
        <v>377.1</v>
      </c>
      <c r="I41" s="1"/>
      <c r="J41" s="4"/>
      <c r="K41" s="2">
        <v>377.1</v>
      </c>
      <c r="L41" s="2">
        <f>AVERAGE(Tabelle2.Runde[[#This Row],[1.Rd]:[2.Rd]])</f>
        <v>377.1</v>
      </c>
      <c r="M41" s="4"/>
    </row>
    <row r="42" spans="1:13" x14ac:dyDescent="0.25">
      <c r="A42" s="1" t="s">
        <v>118</v>
      </c>
      <c r="B42" s="1" t="s">
        <v>103</v>
      </c>
      <c r="C42" s="1" t="s">
        <v>53</v>
      </c>
      <c r="D42" s="1" t="s">
        <v>25</v>
      </c>
      <c r="E42" s="3">
        <f>COUNTIF(Tabelle2.Runde[[#This Row],[1.Rd]:[2.Rd]],"&gt;399,9")</f>
        <v>0</v>
      </c>
      <c r="F42" s="1">
        <v>0</v>
      </c>
      <c r="G42" s="1">
        <v>1</v>
      </c>
      <c r="H42" s="6">
        <v>372.9</v>
      </c>
      <c r="I42" s="1"/>
      <c r="J42" s="6">
        <v>372.9</v>
      </c>
      <c r="K42" s="2"/>
      <c r="L42" s="2">
        <f>AVERAGE(Tabelle2.Runde[[#This Row],[1.Rd]:[2.Rd]])</f>
        <v>372.9</v>
      </c>
    </row>
    <row r="43" spans="1:13" x14ac:dyDescent="0.25">
      <c r="A43" s="1" t="s">
        <v>119</v>
      </c>
      <c r="B43" s="1" t="s">
        <v>104</v>
      </c>
      <c r="C43" s="1" t="s">
        <v>50</v>
      </c>
      <c r="D43" s="1" t="s">
        <v>29</v>
      </c>
      <c r="E43" s="3">
        <f>COUNTIF(Tabelle2.Runde[[#This Row],[1.Rd]:[2.Rd]],"&gt;399,9")</f>
        <v>0</v>
      </c>
      <c r="F43" s="1">
        <v>0</v>
      </c>
      <c r="G43" s="1">
        <v>1</v>
      </c>
      <c r="H43" s="6">
        <v>372.6</v>
      </c>
      <c r="I43" s="1"/>
      <c r="J43" s="6">
        <v>372.6</v>
      </c>
      <c r="K43" s="2"/>
      <c r="L43" s="2">
        <f>AVERAGE(Tabelle2.Runde[[#This Row],[1.Rd]:[2.Rd]])</f>
        <v>372.6</v>
      </c>
    </row>
    <row r="44" spans="1:13" x14ac:dyDescent="0.25">
      <c r="A44" s="1" t="s">
        <v>120</v>
      </c>
      <c r="B44" s="1" t="s">
        <v>105</v>
      </c>
      <c r="C44" s="1" t="s">
        <v>41</v>
      </c>
      <c r="D44" s="1" t="s">
        <v>23</v>
      </c>
      <c r="E44" s="3">
        <f>COUNTIF(Tabelle2.Runde[[#This Row],[1.Rd]:[2.Rd]],"&gt;399,9")</f>
        <v>0</v>
      </c>
      <c r="F44" s="1">
        <v>0</v>
      </c>
      <c r="G44" s="1">
        <v>1</v>
      </c>
      <c r="H44" s="6">
        <v>362.8</v>
      </c>
      <c r="I44" s="1"/>
      <c r="J44" s="6">
        <v>362.8</v>
      </c>
      <c r="K44" s="2"/>
      <c r="L44" s="2">
        <f>AVERAGE(Tabelle2.Runde[[#This Row],[1.Rd]:[2.Rd]])</f>
        <v>362.8</v>
      </c>
    </row>
    <row r="45" spans="1:13" x14ac:dyDescent="0.25">
      <c r="C45" s="1"/>
      <c r="D45" s="1"/>
    </row>
    <row r="46" spans="1:13" x14ac:dyDescent="0.25">
      <c r="C46" s="1"/>
      <c r="D46" s="1"/>
    </row>
    <row r="47" spans="1:13" x14ac:dyDescent="0.25">
      <c r="C47" s="1"/>
      <c r="D47" s="1"/>
    </row>
    <row r="48" spans="1:13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6:D44" xr:uid="{FF0F58BD-DED7-4C0A-97D1-00B41318DFDE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27F1-2EF5-49F2-AE97-882D831F7428}">
  <dimension ref="A1:N54"/>
  <sheetViews>
    <sheetView topLeftCell="A4" zoomScale="80" zoomScaleNormal="80" workbookViewId="0">
      <selection activeCell="M6" sqref="M6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20.5703125" bestFit="1" customWidth="1"/>
    <col min="5" max="6" width="11.7109375" bestFit="1" customWidth="1"/>
    <col min="7" max="7" width="12.140625" bestFit="1" customWidth="1"/>
    <col min="8" max="8" width="13" bestFit="1" customWidth="1"/>
    <col min="9" max="9" width="2.5703125" customWidth="1"/>
    <col min="10" max="12" width="10.85546875" bestFit="1" customWidth="1"/>
    <col min="13" max="13" width="10.7109375" customWidth="1"/>
  </cols>
  <sheetData>
    <row r="1" spans="1:14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4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14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5" spans="1:14" x14ac:dyDescent="0.25">
      <c r="A5" t="s">
        <v>3</v>
      </c>
      <c r="B5" t="s">
        <v>4</v>
      </c>
      <c r="C5" s="1" t="s">
        <v>5</v>
      </c>
      <c r="D5" s="1" t="s">
        <v>6</v>
      </c>
      <c r="E5" s="2" t="s">
        <v>74</v>
      </c>
      <c r="F5" s="1" t="s">
        <v>7</v>
      </c>
      <c r="G5" s="1" t="s">
        <v>8</v>
      </c>
      <c r="H5" s="1" t="s">
        <v>9</v>
      </c>
      <c r="I5" s="1" t="s">
        <v>113</v>
      </c>
      <c r="J5" s="1" t="s">
        <v>114</v>
      </c>
      <c r="K5" s="1" t="s">
        <v>115</v>
      </c>
      <c r="L5" s="1" t="s">
        <v>117</v>
      </c>
      <c r="M5" s="1" t="s">
        <v>116</v>
      </c>
    </row>
    <row r="6" spans="1:14" x14ac:dyDescent="0.25">
      <c r="A6" s="1" t="s">
        <v>77</v>
      </c>
      <c r="B6" s="1" t="s">
        <v>77</v>
      </c>
      <c r="C6" s="1" t="s">
        <v>51</v>
      </c>
      <c r="D6" s="1" t="s">
        <v>25</v>
      </c>
      <c r="E6" s="3">
        <f>COUNTIF(Tabelle3.Runde[[#This Row],[1.Rd]:[3.Rd]],"&gt;399,9")</f>
        <v>3</v>
      </c>
      <c r="F6" s="1">
        <v>3</v>
      </c>
      <c r="G6" s="1">
        <v>3</v>
      </c>
      <c r="H6" s="2">
        <v>407.8</v>
      </c>
      <c r="I6" s="1"/>
      <c r="J6" s="6">
        <v>409.9</v>
      </c>
      <c r="K6" s="2">
        <v>409.1</v>
      </c>
      <c r="L6" s="2">
        <v>404.4</v>
      </c>
      <c r="M6" s="2">
        <f>AVERAGE(Tabelle3.Runde[[#This Row],[1.Rd]:[3.Rd]])</f>
        <v>407.8</v>
      </c>
      <c r="N6" s="4"/>
    </row>
    <row r="7" spans="1:14" x14ac:dyDescent="0.25">
      <c r="A7" s="1" t="s">
        <v>78</v>
      </c>
      <c r="B7" s="1" t="s">
        <v>79</v>
      </c>
      <c r="C7" s="1" t="s">
        <v>36</v>
      </c>
      <c r="D7" s="1" t="s">
        <v>26</v>
      </c>
      <c r="E7" s="3">
        <f>COUNTIF(Tabelle3.Runde[[#This Row],[1.Rd]:[3.Rd]],"&gt;399,9")</f>
        <v>1</v>
      </c>
      <c r="F7" s="1">
        <v>2</v>
      </c>
      <c r="G7" s="1">
        <v>3</v>
      </c>
      <c r="H7" s="2">
        <v>401</v>
      </c>
      <c r="I7" s="1"/>
      <c r="J7" s="6">
        <v>405.8</v>
      </c>
      <c r="K7" s="2">
        <v>398.9</v>
      </c>
      <c r="L7" s="2">
        <v>398.2</v>
      </c>
      <c r="M7" s="2">
        <f>AVERAGE(Tabelle3.Runde[[#This Row],[1.Rd]:[3.Rd]])</f>
        <v>400.9666666666667</v>
      </c>
      <c r="N7" s="4"/>
    </row>
    <row r="8" spans="1:14" x14ac:dyDescent="0.25">
      <c r="A8" s="1" t="s">
        <v>79</v>
      </c>
      <c r="B8" s="1" t="s">
        <v>80</v>
      </c>
      <c r="C8" s="1" t="s">
        <v>44</v>
      </c>
      <c r="D8" s="1" t="s">
        <v>27</v>
      </c>
      <c r="E8" s="3">
        <f>COUNTIF(Tabelle3.Runde[[#This Row],[1.Rd]:[3.Rd]],"&gt;399,9")</f>
        <v>1</v>
      </c>
      <c r="F8" s="1">
        <v>2</v>
      </c>
      <c r="G8" s="1">
        <v>3</v>
      </c>
      <c r="H8" s="2">
        <v>398.8</v>
      </c>
      <c r="I8" s="1"/>
      <c r="J8" s="6">
        <v>401.1</v>
      </c>
      <c r="K8" s="2">
        <v>395.7</v>
      </c>
      <c r="L8" s="2">
        <v>399.5</v>
      </c>
      <c r="M8" s="2">
        <f>AVERAGE(Tabelle3.Runde[[#This Row],[1.Rd]:[3.Rd]])</f>
        <v>398.76666666666665</v>
      </c>
      <c r="N8" s="4"/>
    </row>
    <row r="9" spans="1:14" x14ac:dyDescent="0.25">
      <c r="A9" s="1" t="s">
        <v>80</v>
      </c>
      <c r="B9" s="1" t="s">
        <v>84</v>
      </c>
      <c r="C9" s="1" t="s">
        <v>75</v>
      </c>
      <c r="D9" s="1" t="s">
        <v>25</v>
      </c>
      <c r="E9" s="3">
        <f>COUNTIF(Tabelle3.Runde[[#This Row],[1.Rd]:[3.Rd]],"&gt;399,9")</f>
        <v>1</v>
      </c>
      <c r="F9" s="1">
        <v>2</v>
      </c>
      <c r="G9" s="1">
        <v>3</v>
      </c>
      <c r="H9" s="2">
        <v>394.7</v>
      </c>
      <c r="I9" s="1"/>
      <c r="J9" s="6">
        <v>401.2</v>
      </c>
      <c r="K9" s="2">
        <v>388.5</v>
      </c>
      <c r="L9" s="2">
        <v>394.5</v>
      </c>
      <c r="M9" s="2">
        <f>AVERAGE(Tabelle3.Runde[[#This Row],[1.Rd]:[3.Rd]])</f>
        <v>394.73333333333335</v>
      </c>
      <c r="N9" s="4"/>
    </row>
    <row r="10" spans="1:14" x14ac:dyDescent="0.25">
      <c r="A10" s="1" t="s">
        <v>81</v>
      </c>
      <c r="B10" s="1" t="s">
        <v>86</v>
      </c>
      <c r="C10" s="1" t="s">
        <v>40</v>
      </c>
      <c r="D10" s="1" t="s">
        <v>23</v>
      </c>
      <c r="E10" s="3">
        <f>COUNTIF(Tabelle3.Runde[[#This Row],[1.Rd]:[3.Rd]],"&gt;399,9")</f>
        <v>0</v>
      </c>
      <c r="F10" s="1">
        <v>2</v>
      </c>
      <c r="G10" s="1">
        <v>3</v>
      </c>
      <c r="H10" s="6">
        <v>394.4</v>
      </c>
      <c r="I10" s="1"/>
      <c r="J10" s="6">
        <v>391.5</v>
      </c>
      <c r="K10" s="2">
        <v>394.9</v>
      </c>
      <c r="L10" s="2">
        <v>396.8</v>
      </c>
      <c r="M10" s="2">
        <f>AVERAGE(Tabelle3.Runde[[#This Row],[1.Rd]:[3.Rd]])</f>
        <v>394.40000000000003</v>
      </c>
      <c r="N10" s="4"/>
    </row>
    <row r="11" spans="1:14" x14ac:dyDescent="0.25">
      <c r="A11" s="1" t="s">
        <v>82</v>
      </c>
      <c r="B11" s="1" t="s">
        <v>88</v>
      </c>
      <c r="C11" s="1" t="s">
        <v>38</v>
      </c>
      <c r="D11" s="1" t="s">
        <v>26</v>
      </c>
      <c r="E11" s="3">
        <f>COUNTIF(Tabelle3.Runde[[#This Row],[1.Rd]:[3.Rd]],"&gt;399,9")</f>
        <v>0</v>
      </c>
      <c r="F11" s="1">
        <v>2</v>
      </c>
      <c r="G11" s="1">
        <v>3</v>
      </c>
      <c r="H11" s="2">
        <v>388.4</v>
      </c>
      <c r="I11" s="1"/>
      <c r="J11" s="6">
        <v>384.1</v>
      </c>
      <c r="K11" s="2">
        <v>388.9</v>
      </c>
      <c r="L11" s="2">
        <v>392.2</v>
      </c>
      <c r="M11" s="2">
        <f>AVERAGE(Tabelle3.Runde[[#This Row],[1.Rd]:[3.Rd]])</f>
        <v>388.40000000000003</v>
      </c>
      <c r="N11" s="4"/>
    </row>
    <row r="12" spans="1:14" x14ac:dyDescent="0.25">
      <c r="A12" s="1" t="s">
        <v>83</v>
      </c>
      <c r="B12" s="1" t="s">
        <v>89</v>
      </c>
      <c r="C12" s="1" t="s">
        <v>30</v>
      </c>
      <c r="D12" s="1" t="s">
        <v>24</v>
      </c>
      <c r="E12" s="3">
        <f>COUNTIF(Tabelle3.Runde[[#This Row],[1.Rd]:[3.Rd]],"&gt;399,9")</f>
        <v>2</v>
      </c>
      <c r="F12" s="1">
        <v>2</v>
      </c>
      <c r="G12" s="1">
        <v>3</v>
      </c>
      <c r="H12" s="2">
        <v>372.3</v>
      </c>
      <c r="I12" s="1"/>
      <c r="J12" s="6">
        <v>305.2</v>
      </c>
      <c r="K12" s="2">
        <v>402.8</v>
      </c>
      <c r="L12" s="2">
        <v>408.9</v>
      </c>
      <c r="M12" s="2">
        <f>AVERAGE(Tabelle3.Runde[[#This Row],[1.Rd]:[3.Rd]])</f>
        <v>372.3</v>
      </c>
      <c r="N12" s="4"/>
    </row>
    <row r="13" spans="1:14" x14ac:dyDescent="0.25">
      <c r="A13" s="1" t="s">
        <v>84</v>
      </c>
      <c r="B13" s="1" t="s">
        <v>90</v>
      </c>
      <c r="C13" s="1" t="s">
        <v>63</v>
      </c>
      <c r="D13" s="1" t="s">
        <v>24</v>
      </c>
      <c r="E13" s="3">
        <f>COUNTIF(Tabelle3.Runde[[#This Row],[1.Rd]:[3.Rd]],"&gt;399,9")</f>
        <v>2</v>
      </c>
      <c r="F13" s="1">
        <v>2</v>
      </c>
      <c r="G13" s="1">
        <v>2</v>
      </c>
      <c r="H13" s="2">
        <v>416.9</v>
      </c>
      <c r="I13" s="1"/>
      <c r="J13" s="2"/>
      <c r="K13" s="2">
        <v>416.9</v>
      </c>
      <c r="L13" s="2">
        <v>416.9</v>
      </c>
      <c r="M13" s="2">
        <f>AVERAGE(Tabelle3.Runde[[#This Row],[1.Rd]:[3.Rd]])</f>
        <v>416.9</v>
      </c>
      <c r="N13" s="4"/>
    </row>
    <row r="14" spans="1:14" x14ac:dyDescent="0.25">
      <c r="A14" s="1" t="s">
        <v>85</v>
      </c>
      <c r="B14" s="1" t="s">
        <v>92</v>
      </c>
      <c r="C14" s="1" t="s">
        <v>66</v>
      </c>
      <c r="D14" s="1" t="s">
        <v>23</v>
      </c>
      <c r="E14" s="3">
        <f>COUNTIF(Tabelle3.Runde[[#This Row],[1.Rd]:[3.Rd]],"&gt;399,9")</f>
        <v>2</v>
      </c>
      <c r="F14" s="1">
        <v>2</v>
      </c>
      <c r="G14" s="1">
        <v>2</v>
      </c>
      <c r="H14" s="2">
        <v>405.4</v>
      </c>
      <c r="I14" s="1"/>
      <c r="J14" s="2"/>
      <c r="K14" s="2">
        <v>407.2</v>
      </c>
      <c r="L14" s="2">
        <v>403.6</v>
      </c>
      <c r="M14" s="2">
        <f>AVERAGE(Tabelle3.Runde[[#This Row],[1.Rd]:[3.Rd]])</f>
        <v>405.4</v>
      </c>
      <c r="N14" s="4"/>
    </row>
    <row r="15" spans="1:14" x14ac:dyDescent="0.25">
      <c r="A15" s="1" t="s">
        <v>86</v>
      </c>
      <c r="B15" s="1" t="s">
        <v>78</v>
      </c>
      <c r="C15" s="1" t="s">
        <v>55</v>
      </c>
      <c r="D15" s="1" t="s">
        <v>20</v>
      </c>
      <c r="E15" s="3">
        <f>COUNTIF(Tabelle3.Runde[[#This Row],[1.Rd]:[3.Rd]],"&gt;399,9")</f>
        <v>2</v>
      </c>
      <c r="F15" s="1">
        <v>2</v>
      </c>
      <c r="G15" s="1">
        <v>2</v>
      </c>
      <c r="H15" s="2">
        <v>404</v>
      </c>
      <c r="I15" s="1"/>
      <c r="J15" s="6">
        <v>406.4</v>
      </c>
      <c r="K15" s="2">
        <v>401.5</v>
      </c>
      <c r="L15" s="2"/>
      <c r="M15" s="2">
        <f>AVERAGE(Tabelle3.Runde[[#This Row],[1.Rd]:[3.Rd]])</f>
        <v>403.95</v>
      </c>
      <c r="N15" s="4"/>
    </row>
    <row r="16" spans="1:14" x14ac:dyDescent="0.25">
      <c r="A16" s="1" t="s">
        <v>87</v>
      </c>
      <c r="B16" s="1" t="s">
        <v>94</v>
      </c>
      <c r="C16" s="1" t="s">
        <v>65</v>
      </c>
      <c r="D16" s="1" t="s">
        <v>27</v>
      </c>
      <c r="E16" s="3">
        <f>COUNTIF(Tabelle3.Runde[[#This Row],[1.Rd]:[3.Rd]],"&gt;399,9")</f>
        <v>0</v>
      </c>
      <c r="F16" s="1">
        <v>2</v>
      </c>
      <c r="G16" s="1">
        <v>2</v>
      </c>
      <c r="H16" s="2">
        <v>395.4</v>
      </c>
      <c r="I16" s="1"/>
      <c r="J16" s="2"/>
      <c r="K16" s="2">
        <v>392</v>
      </c>
      <c r="L16" s="2">
        <v>398.7</v>
      </c>
      <c r="M16" s="2">
        <f>AVERAGE(Tabelle3.Runde[[#This Row],[1.Rd]:[3.Rd]])</f>
        <v>395.35</v>
      </c>
      <c r="N16" s="4"/>
    </row>
    <row r="17" spans="1:14" x14ac:dyDescent="0.25">
      <c r="A17" s="1" t="s">
        <v>88</v>
      </c>
      <c r="B17" s="1" t="s">
        <v>81</v>
      </c>
      <c r="C17" s="1" t="s">
        <v>37</v>
      </c>
      <c r="D17" s="1" t="s">
        <v>26</v>
      </c>
      <c r="E17" s="3">
        <f>COUNTIF(Tabelle3.Runde[[#This Row],[1.Rd]:[3.Rd]],"&gt;399,9")</f>
        <v>0</v>
      </c>
      <c r="F17" s="1">
        <v>1</v>
      </c>
      <c r="G17" s="1">
        <v>3</v>
      </c>
      <c r="H17" s="2">
        <v>397.3</v>
      </c>
      <c r="I17" s="1"/>
      <c r="J17" s="6">
        <v>397</v>
      </c>
      <c r="K17" s="2">
        <v>397.9</v>
      </c>
      <c r="L17" s="2">
        <v>396.9</v>
      </c>
      <c r="M17" s="2">
        <f>AVERAGE(Tabelle3.Runde[[#This Row],[1.Rd]:[3.Rd]])</f>
        <v>397.26666666666665</v>
      </c>
      <c r="N17" s="4"/>
    </row>
    <row r="18" spans="1:14" x14ac:dyDescent="0.25">
      <c r="A18" s="1" t="s">
        <v>89</v>
      </c>
      <c r="B18" s="1" t="s">
        <v>95</v>
      </c>
      <c r="C18" s="1" t="s">
        <v>39</v>
      </c>
      <c r="D18" s="1" t="s">
        <v>23</v>
      </c>
      <c r="E18" s="3">
        <f>COUNTIF(Tabelle3.Runde[[#This Row],[1.Rd]:[3.Rd]],"&gt;399,9")</f>
        <v>0</v>
      </c>
      <c r="F18" s="1">
        <v>1</v>
      </c>
      <c r="G18" s="1">
        <v>3</v>
      </c>
      <c r="H18" s="6">
        <v>396.6</v>
      </c>
      <c r="I18" s="1"/>
      <c r="J18" s="6">
        <v>397.2</v>
      </c>
      <c r="K18" s="2">
        <v>398.7</v>
      </c>
      <c r="L18" s="2">
        <v>393.8</v>
      </c>
      <c r="M18" s="2">
        <f>AVERAGE(Tabelle3.Runde[[#This Row],[1.Rd]:[3.Rd]])</f>
        <v>396.56666666666666</v>
      </c>
      <c r="N18" s="4"/>
    </row>
    <row r="19" spans="1:14" x14ac:dyDescent="0.25">
      <c r="A19" s="1" t="s">
        <v>90</v>
      </c>
      <c r="B19" s="1" t="s">
        <v>82</v>
      </c>
      <c r="C19" s="1" t="s">
        <v>42</v>
      </c>
      <c r="D19" s="1" t="s">
        <v>27</v>
      </c>
      <c r="E19" s="3">
        <f>COUNTIF(Tabelle3.Runde[[#This Row],[1.Rd]:[3.Rd]],"&gt;399,9")</f>
        <v>0</v>
      </c>
      <c r="F19" s="1">
        <v>1</v>
      </c>
      <c r="G19" s="1">
        <v>3</v>
      </c>
      <c r="H19" s="2">
        <v>396.5</v>
      </c>
      <c r="I19" s="1"/>
      <c r="J19" s="6">
        <v>397.6</v>
      </c>
      <c r="K19" s="2">
        <v>396.9</v>
      </c>
      <c r="L19" s="2">
        <v>395</v>
      </c>
      <c r="M19" s="2">
        <f>AVERAGE(Tabelle3.Runde[[#This Row],[1.Rd]:[3.Rd]])</f>
        <v>396.5</v>
      </c>
      <c r="N19" s="4"/>
    </row>
    <row r="20" spans="1:14" x14ac:dyDescent="0.25">
      <c r="A20" s="1" t="s">
        <v>91</v>
      </c>
      <c r="B20" s="1" t="s">
        <v>85</v>
      </c>
      <c r="C20" s="1" t="s">
        <v>54</v>
      </c>
      <c r="D20" s="1" t="s">
        <v>20</v>
      </c>
      <c r="E20" s="3">
        <f>COUNTIF(Tabelle3.Runde[[#This Row],[1.Rd]:[3.Rd]],"&gt;399,9")</f>
        <v>1</v>
      </c>
      <c r="F20" s="1">
        <v>1</v>
      </c>
      <c r="G20" s="1">
        <v>3</v>
      </c>
      <c r="H20" s="2">
        <v>394.7</v>
      </c>
      <c r="I20" s="1"/>
      <c r="J20" s="6">
        <v>395.1</v>
      </c>
      <c r="K20" s="2">
        <v>388</v>
      </c>
      <c r="L20" s="2">
        <v>400.9</v>
      </c>
      <c r="M20" s="2">
        <f>AVERAGE(Tabelle3.Runde[[#This Row],[1.Rd]:[3.Rd]])</f>
        <v>394.66666666666669</v>
      </c>
      <c r="N20" s="4"/>
    </row>
    <row r="21" spans="1:14" x14ac:dyDescent="0.25">
      <c r="A21" s="1" t="s">
        <v>92</v>
      </c>
      <c r="B21" s="1" t="s">
        <v>83</v>
      </c>
      <c r="C21" s="1" t="s">
        <v>56</v>
      </c>
      <c r="D21" s="1" t="s">
        <v>20</v>
      </c>
      <c r="E21" s="3">
        <f>COUNTIF(Tabelle3.Runde[[#This Row],[1.Rd]:[3.Rd]],"&gt;399,9")</f>
        <v>0</v>
      </c>
      <c r="F21" s="1">
        <v>1</v>
      </c>
      <c r="G21" s="1">
        <v>3</v>
      </c>
      <c r="H21" s="2">
        <v>393.7</v>
      </c>
      <c r="I21" s="1"/>
      <c r="J21" s="6">
        <v>392.3</v>
      </c>
      <c r="K21" s="2">
        <v>398.8</v>
      </c>
      <c r="L21" s="2">
        <v>390</v>
      </c>
      <c r="M21" s="2">
        <f>AVERAGE(Tabelle3.Runde[[#This Row],[1.Rd]:[3.Rd]])</f>
        <v>393.7</v>
      </c>
      <c r="N21" s="4"/>
    </row>
    <row r="22" spans="1:14" x14ac:dyDescent="0.25">
      <c r="A22" s="1" t="s">
        <v>93</v>
      </c>
      <c r="B22" s="1" t="s">
        <v>87</v>
      </c>
      <c r="C22" s="1" t="s">
        <v>34</v>
      </c>
      <c r="D22" s="1" t="s">
        <v>28</v>
      </c>
      <c r="E22" s="3">
        <f>COUNTIF(Tabelle3.Runde[[#This Row],[1.Rd]:[3.Rd]],"&gt;399,9")</f>
        <v>0</v>
      </c>
      <c r="F22" s="1">
        <v>1</v>
      </c>
      <c r="G22" s="1">
        <v>3</v>
      </c>
      <c r="H22" s="2">
        <v>388.9</v>
      </c>
      <c r="I22" s="1"/>
      <c r="J22" s="6">
        <v>390.5</v>
      </c>
      <c r="K22" s="2">
        <v>387.3</v>
      </c>
      <c r="L22" s="2">
        <v>388.8</v>
      </c>
      <c r="M22" s="2">
        <f>AVERAGE(Tabelle3.Runde[[#This Row],[1.Rd]:[3.Rd]])</f>
        <v>388.86666666666662</v>
      </c>
      <c r="N22" s="4"/>
    </row>
    <row r="23" spans="1:14" x14ac:dyDescent="0.25">
      <c r="A23" s="1" t="s">
        <v>94</v>
      </c>
      <c r="B23" s="1" t="s">
        <v>103</v>
      </c>
      <c r="C23" s="1" t="s">
        <v>67</v>
      </c>
      <c r="D23" s="1" t="s">
        <v>29</v>
      </c>
      <c r="E23" s="3">
        <f>COUNTIF(Tabelle3.Runde[[#This Row],[1.Rd]:[3.Rd]],"&gt;399,9")</f>
        <v>2</v>
      </c>
      <c r="F23" s="1">
        <v>1</v>
      </c>
      <c r="G23" s="1">
        <v>2</v>
      </c>
      <c r="H23" s="2">
        <v>405.3</v>
      </c>
      <c r="I23" s="1"/>
      <c r="J23" s="2"/>
      <c r="K23" s="2">
        <v>405.3</v>
      </c>
      <c r="L23" s="2">
        <v>405.3</v>
      </c>
      <c r="M23" s="2">
        <f>AVERAGE(Tabelle3.Runde[[#This Row],[1.Rd]:[3.Rd]])</f>
        <v>405.3</v>
      </c>
      <c r="N23" s="4"/>
    </row>
    <row r="24" spans="1:14" x14ac:dyDescent="0.25">
      <c r="A24" s="1" t="s">
        <v>95</v>
      </c>
      <c r="B24" s="1" t="s">
        <v>111</v>
      </c>
      <c r="C24" s="1" t="s">
        <v>60</v>
      </c>
      <c r="D24" s="1" t="s">
        <v>22</v>
      </c>
      <c r="E24" s="3">
        <f>COUNTIF(Tabelle3.Runde[[#This Row],[1.Rd]:[3.Rd]],"&gt;399,9")</f>
        <v>0</v>
      </c>
      <c r="F24" s="1">
        <v>1</v>
      </c>
      <c r="G24" s="1">
        <v>2</v>
      </c>
      <c r="H24" s="2">
        <v>385.9</v>
      </c>
      <c r="I24" s="1"/>
      <c r="J24" s="2"/>
      <c r="K24" s="2">
        <v>378.9</v>
      </c>
      <c r="L24" s="2">
        <v>392.8</v>
      </c>
      <c r="M24" s="2">
        <f>AVERAGE(Tabelle3.Runde[[#This Row],[1.Rd]:[3.Rd]])</f>
        <v>385.85</v>
      </c>
      <c r="N24" s="4"/>
    </row>
    <row r="25" spans="1:14" x14ac:dyDescent="0.25">
      <c r="A25" s="1" t="s">
        <v>96</v>
      </c>
      <c r="B25" s="1" t="s">
        <v>108</v>
      </c>
      <c r="C25" s="1" t="s">
        <v>64</v>
      </c>
      <c r="D25" s="1" t="s">
        <v>24</v>
      </c>
      <c r="E25" s="3">
        <f>COUNTIF(Tabelle3.Runde[[#This Row],[1.Rd]:[3.Rd]],"&gt;399,9")</f>
        <v>0</v>
      </c>
      <c r="F25" s="1">
        <v>1</v>
      </c>
      <c r="G25" s="1">
        <v>2</v>
      </c>
      <c r="H25" s="2">
        <v>385.7</v>
      </c>
      <c r="I25" s="1"/>
      <c r="J25" s="2"/>
      <c r="K25" s="2">
        <v>382</v>
      </c>
      <c r="L25" s="2">
        <v>389.4</v>
      </c>
      <c r="M25" s="2">
        <f>AVERAGE(Tabelle3.Runde[[#This Row],[1.Rd]:[3.Rd]])</f>
        <v>385.7</v>
      </c>
      <c r="N25" s="4"/>
    </row>
    <row r="26" spans="1:14" x14ac:dyDescent="0.25">
      <c r="A26" s="1" t="s">
        <v>97</v>
      </c>
      <c r="B26" s="1" t="s">
        <v>91</v>
      </c>
      <c r="C26" s="1" t="s">
        <v>43</v>
      </c>
      <c r="D26" s="1" t="s">
        <v>27</v>
      </c>
      <c r="E26" s="3">
        <f>COUNTIF(Tabelle3.Runde[[#This Row],[1.Rd]:[3.Rd]],"&gt;399,9")</f>
        <v>1</v>
      </c>
      <c r="F26" s="1">
        <v>1</v>
      </c>
      <c r="G26" s="1">
        <v>1</v>
      </c>
      <c r="H26" s="6">
        <v>408.2</v>
      </c>
      <c r="I26" s="1"/>
      <c r="J26" s="6">
        <v>408.2</v>
      </c>
      <c r="K26" s="2"/>
      <c r="L26" s="2"/>
      <c r="M26" s="2">
        <f>AVERAGE(Tabelle3.Runde[[#This Row],[1.Rd]:[3.Rd]])</f>
        <v>408.2</v>
      </c>
      <c r="N26" s="4"/>
    </row>
    <row r="27" spans="1:14" x14ac:dyDescent="0.25">
      <c r="A27" s="1" t="s">
        <v>98</v>
      </c>
      <c r="B27" s="1" t="s">
        <v>93</v>
      </c>
      <c r="C27" s="1" t="s">
        <v>32</v>
      </c>
      <c r="D27" s="1" t="s">
        <v>24</v>
      </c>
      <c r="E27" s="3">
        <f>COUNTIF(Tabelle3.Runde[[#This Row],[1.Rd]:[3.Rd]],"&gt;399,9")</f>
        <v>0</v>
      </c>
      <c r="F27" s="1">
        <v>1</v>
      </c>
      <c r="G27" s="1">
        <v>1</v>
      </c>
      <c r="H27" s="6">
        <v>398.8</v>
      </c>
      <c r="I27" s="1"/>
      <c r="J27" s="6">
        <v>398.8</v>
      </c>
      <c r="K27" s="2"/>
      <c r="L27" s="2"/>
      <c r="M27" s="2">
        <f>AVERAGE(Tabelle3.Runde[[#This Row],[1.Rd]:[3.Rd]])</f>
        <v>398.8</v>
      </c>
      <c r="N27" s="4"/>
    </row>
    <row r="28" spans="1:14" x14ac:dyDescent="0.25">
      <c r="A28" s="1" t="s">
        <v>99</v>
      </c>
      <c r="B28" s="1" t="s">
        <v>96</v>
      </c>
      <c r="C28" s="1" t="s">
        <v>48</v>
      </c>
      <c r="D28" s="1" t="s">
        <v>29</v>
      </c>
      <c r="E28" s="3">
        <f>COUNTIF(Tabelle3.Runde[[#This Row],[1.Rd]:[3.Rd]],"&gt;399,9")</f>
        <v>0</v>
      </c>
      <c r="F28" s="1">
        <v>0</v>
      </c>
      <c r="G28" s="1">
        <v>3</v>
      </c>
      <c r="H28" s="6">
        <v>398.5</v>
      </c>
      <c r="I28" s="1"/>
      <c r="J28" s="6">
        <v>397.2</v>
      </c>
      <c r="K28" s="2">
        <v>398.6</v>
      </c>
      <c r="L28" s="2">
        <v>399.6</v>
      </c>
      <c r="M28" s="2">
        <f>AVERAGE(Tabelle3.Runde[[#This Row],[1.Rd]:[3.Rd]])</f>
        <v>398.4666666666667</v>
      </c>
      <c r="N28" s="4"/>
    </row>
    <row r="29" spans="1:14" x14ac:dyDescent="0.25">
      <c r="A29" s="1" t="s">
        <v>100</v>
      </c>
      <c r="B29" s="1" t="s">
        <v>97</v>
      </c>
      <c r="C29" s="1" t="s">
        <v>33</v>
      </c>
      <c r="D29" s="1" t="s">
        <v>28</v>
      </c>
      <c r="E29" s="3">
        <f>COUNTIF(Tabelle3.Runde[[#This Row],[1.Rd]:[3.Rd]],"&gt;399,9")</f>
        <v>1</v>
      </c>
      <c r="F29" s="1">
        <v>0</v>
      </c>
      <c r="G29" s="1">
        <v>3</v>
      </c>
      <c r="H29" s="2">
        <v>397</v>
      </c>
      <c r="I29" s="1"/>
      <c r="J29" s="6">
        <v>400.8</v>
      </c>
      <c r="K29" s="2">
        <v>393.6</v>
      </c>
      <c r="L29" s="2">
        <v>396.5</v>
      </c>
      <c r="M29" s="2">
        <f>AVERAGE(Tabelle3.Runde[[#This Row],[1.Rd]:[3.Rd]])</f>
        <v>396.9666666666667</v>
      </c>
      <c r="N29" s="4"/>
    </row>
    <row r="30" spans="1:14" x14ac:dyDescent="0.25">
      <c r="A30" s="1" t="s">
        <v>101</v>
      </c>
      <c r="B30" s="1" t="s">
        <v>98</v>
      </c>
      <c r="C30" s="1" t="s">
        <v>46</v>
      </c>
      <c r="D30" s="1" t="s">
        <v>22</v>
      </c>
      <c r="E30" s="3">
        <f>COUNTIF(Tabelle3.Runde[[#This Row],[1.Rd]:[3.Rd]],"&gt;399,9")</f>
        <v>0</v>
      </c>
      <c r="F30" s="1">
        <v>0</v>
      </c>
      <c r="G30" s="1">
        <v>3</v>
      </c>
      <c r="H30" s="2">
        <v>390.7</v>
      </c>
      <c r="I30" s="1"/>
      <c r="J30" s="6">
        <v>394.2</v>
      </c>
      <c r="K30" s="2">
        <v>389.4</v>
      </c>
      <c r="L30" s="2">
        <v>388.5</v>
      </c>
      <c r="M30" s="2">
        <f>AVERAGE(Tabelle3.Runde[[#This Row],[1.Rd]:[3.Rd]])</f>
        <v>390.7</v>
      </c>
      <c r="N30" s="4"/>
    </row>
    <row r="31" spans="1:14" x14ac:dyDescent="0.25">
      <c r="A31" s="1" t="s">
        <v>102</v>
      </c>
      <c r="B31" s="1" t="s">
        <v>99</v>
      </c>
      <c r="C31" s="1" t="s">
        <v>35</v>
      </c>
      <c r="D31" s="1" t="s">
        <v>28</v>
      </c>
      <c r="E31" s="3">
        <f>COUNTIF(Tabelle3.Runde[[#This Row],[1.Rd]:[3.Rd]],"&gt;399,9")</f>
        <v>0</v>
      </c>
      <c r="F31" s="1">
        <v>0</v>
      </c>
      <c r="G31" s="1">
        <v>3</v>
      </c>
      <c r="H31" s="2">
        <v>385.4</v>
      </c>
      <c r="I31" s="1"/>
      <c r="J31" s="6">
        <v>389.5</v>
      </c>
      <c r="K31" s="2">
        <v>383.9</v>
      </c>
      <c r="L31" s="2">
        <v>382.7</v>
      </c>
      <c r="M31" s="2">
        <f>AVERAGE(Tabelle3.Runde[[#This Row],[1.Rd]:[3.Rd]])</f>
        <v>385.36666666666662</v>
      </c>
      <c r="N31" s="4"/>
    </row>
    <row r="32" spans="1:14" x14ac:dyDescent="0.25">
      <c r="A32" s="1" t="s">
        <v>103</v>
      </c>
      <c r="B32" s="1" t="s">
        <v>100</v>
      </c>
      <c r="C32" s="1" t="s">
        <v>58</v>
      </c>
      <c r="D32" s="1" t="s">
        <v>21</v>
      </c>
      <c r="E32" s="3">
        <f>COUNTIF(Tabelle3.Runde[[#This Row],[1.Rd]:[3.Rd]],"&gt;399,9")</f>
        <v>0</v>
      </c>
      <c r="F32" s="1">
        <v>0</v>
      </c>
      <c r="G32" s="1">
        <v>3</v>
      </c>
      <c r="H32" s="2">
        <v>383</v>
      </c>
      <c r="I32" s="1"/>
      <c r="J32" s="6">
        <v>381.5</v>
      </c>
      <c r="K32" s="2">
        <v>390.3</v>
      </c>
      <c r="L32" s="2">
        <v>377.2</v>
      </c>
      <c r="M32" s="2">
        <f>AVERAGE(Tabelle3.Runde[[#This Row],[1.Rd]:[3.Rd]])</f>
        <v>383</v>
      </c>
      <c r="N32" s="4"/>
    </row>
    <row r="33" spans="1:14" x14ac:dyDescent="0.25">
      <c r="A33" s="1" t="s">
        <v>104</v>
      </c>
      <c r="B33" s="1" t="s">
        <v>102</v>
      </c>
      <c r="C33" s="1" t="s">
        <v>47</v>
      </c>
      <c r="D33" s="1" t="s">
        <v>22</v>
      </c>
      <c r="E33" s="3">
        <f>COUNTIF(Tabelle3.Runde[[#This Row],[1.Rd]:[3.Rd]],"&gt;399,9")</f>
        <v>0</v>
      </c>
      <c r="F33" s="1">
        <v>0</v>
      </c>
      <c r="G33" s="1">
        <v>3</v>
      </c>
      <c r="H33" s="2">
        <v>381.9</v>
      </c>
      <c r="I33" s="1"/>
      <c r="J33" s="6">
        <v>375.7</v>
      </c>
      <c r="K33" s="2">
        <v>377.4</v>
      </c>
      <c r="L33" s="2">
        <v>392.6</v>
      </c>
      <c r="M33" s="2">
        <f>AVERAGE(Tabelle3.Runde[[#This Row],[1.Rd]:[3.Rd]])</f>
        <v>381.89999999999992</v>
      </c>
      <c r="N33" s="4"/>
    </row>
    <row r="34" spans="1:14" x14ac:dyDescent="0.25">
      <c r="A34" s="1" t="s">
        <v>105</v>
      </c>
      <c r="B34" s="1" t="s">
        <v>101</v>
      </c>
      <c r="C34" s="1" t="s">
        <v>59</v>
      </c>
      <c r="D34" s="1" t="s">
        <v>21</v>
      </c>
      <c r="E34" s="3">
        <f>COUNTIF(Tabelle3.Runde[[#This Row],[1.Rd]:[3.Rd]],"&gt;399,9")</f>
        <v>0</v>
      </c>
      <c r="F34" s="1">
        <v>0</v>
      </c>
      <c r="G34" s="1">
        <v>3</v>
      </c>
      <c r="H34" s="2">
        <v>375.4</v>
      </c>
      <c r="I34" s="1"/>
      <c r="J34" s="6">
        <v>384.3</v>
      </c>
      <c r="K34" s="2">
        <v>370.8</v>
      </c>
      <c r="L34" s="2">
        <v>371.1</v>
      </c>
      <c r="M34" s="2">
        <f>AVERAGE(Tabelle3.Runde[[#This Row],[1.Rd]:[3.Rd]])</f>
        <v>375.40000000000003</v>
      </c>
      <c r="N34" s="4"/>
    </row>
    <row r="35" spans="1:14" x14ac:dyDescent="0.25">
      <c r="A35" s="1" t="s">
        <v>106</v>
      </c>
      <c r="B35" s="1" t="s">
        <v>105</v>
      </c>
      <c r="C35" s="1" t="s">
        <v>68</v>
      </c>
      <c r="D35" s="1" t="s">
        <v>29</v>
      </c>
      <c r="E35" s="3">
        <f>COUNTIF(Tabelle3.Runde[[#This Row],[1.Rd]:[3.Rd]],"&gt;399,9")</f>
        <v>0</v>
      </c>
      <c r="F35" s="1">
        <v>0</v>
      </c>
      <c r="G35" s="1">
        <v>2</v>
      </c>
      <c r="H35" s="2">
        <v>389.6</v>
      </c>
      <c r="I35" s="1"/>
      <c r="J35" s="2"/>
      <c r="K35" s="2">
        <v>391.7</v>
      </c>
      <c r="L35" s="2">
        <v>387.5</v>
      </c>
      <c r="M35" s="2">
        <f>AVERAGE(Tabelle3.Runde[[#This Row],[1.Rd]:[3.Rd]])</f>
        <v>389.6</v>
      </c>
      <c r="N35" s="4"/>
    </row>
    <row r="36" spans="1:14" x14ac:dyDescent="0.25">
      <c r="A36" s="1" t="s">
        <v>107</v>
      </c>
      <c r="B36" s="1" t="s">
        <v>112</v>
      </c>
      <c r="C36" s="1" t="s">
        <v>61</v>
      </c>
      <c r="D36" s="1" t="s">
        <v>25</v>
      </c>
      <c r="E36" s="3">
        <f>COUNTIF(Tabelle3.Runde[[#This Row],[1.Rd]:[3.Rd]],"&gt;399,9")</f>
        <v>0</v>
      </c>
      <c r="F36" s="1">
        <v>0</v>
      </c>
      <c r="G36" s="1">
        <v>2</v>
      </c>
      <c r="H36" s="2">
        <v>375.5</v>
      </c>
      <c r="I36" s="1"/>
      <c r="J36" s="2"/>
      <c r="K36" s="2">
        <v>377.1</v>
      </c>
      <c r="L36" s="2">
        <v>373.8</v>
      </c>
      <c r="M36" s="2">
        <f>AVERAGE(Tabelle3.Runde[[#This Row],[1.Rd]:[3.Rd]])</f>
        <v>375.45000000000005</v>
      </c>
      <c r="N36" s="4"/>
    </row>
    <row r="37" spans="1:14" x14ac:dyDescent="0.25">
      <c r="A37" s="1" t="s">
        <v>108</v>
      </c>
      <c r="B37" s="1" t="s">
        <v>109</v>
      </c>
      <c r="C37" s="1" t="s">
        <v>62</v>
      </c>
      <c r="D37" s="1" t="s">
        <v>21</v>
      </c>
      <c r="E37" s="3">
        <f>COUNTIF(Tabelle3.Runde[[#This Row],[1.Rd]:[3.Rd]],"&gt;399,9")</f>
        <v>0</v>
      </c>
      <c r="F37" s="1">
        <v>0</v>
      </c>
      <c r="G37" s="1">
        <v>2</v>
      </c>
      <c r="H37" s="2">
        <v>374.3</v>
      </c>
      <c r="I37" s="1"/>
      <c r="J37" s="2"/>
      <c r="K37" s="2">
        <v>381.8</v>
      </c>
      <c r="L37" s="2">
        <v>366.8</v>
      </c>
      <c r="M37" s="2">
        <f>AVERAGE(Tabelle3.Runde[[#This Row],[1.Rd]:[3.Rd]])</f>
        <v>374.3</v>
      </c>
      <c r="N37" s="4"/>
    </row>
    <row r="38" spans="1:14" x14ac:dyDescent="0.25">
      <c r="A38" s="1" t="s">
        <v>109</v>
      </c>
      <c r="B38" s="1" t="s">
        <v>104</v>
      </c>
      <c r="C38" s="1" t="s">
        <v>76</v>
      </c>
      <c r="D38" s="1" t="s">
        <v>21</v>
      </c>
      <c r="E38" s="3">
        <f>COUNTIF(Tabelle3.Runde[[#This Row],[1.Rd]:[3.Rd]],"&gt;399,9")</f>
        <v>0</v>
      </c>
      <c r="F38" s="1">
        <v>0</v>
      </c>
      <c r="G38" s="1">
        <v>1</v>
      </c>
      <c r="H38" s="6">
        <v>395.1</v>
      </c>
      <c r="I38" s="1"/>
      <c r="J38" s="6">
        <v>395.1</v>
      </c>
      <c r="K38" s="2"/>
      <c r="L38" s="2"/>
      <c r="M38" s="2">
        <f>AVERAGE(Tabelle3.Runde[[#This Row],[1.Rd]:[3.Rd]])</f>
        <v>395.1</v>
      </c>
      <c r="N38" s="4"/>
    </row>
    <row r="39" spans="1:14" x14ac:dyDescent="0.25">
      <c r="A39" s="1" t="s">
        <v>110</v>
      </c>
      <c r="B39" s="1" t="s">
        <v>106</v>
      </c>
      <c r="C39" s="1" t="s">
        <v>49</v>
      </c>
      <c r="D39" s="1" t="s">
        <v>29</v>
      </c>
      <c r="E39" s="3">
        <f>COUNTIF(Tabelle3.Runde[[#This Row],[1.Rd]:[3.Rd]],"&gt;399,9")</f>
        <v>0</v>
      </c>
      <c r="F39" s="1">
        <v>0</v>
      </c>
      <c r="G39" s="1">
        <v>1</v>
      </c>
      <c r="H39" s="6">
        <v>391.3</v>
      </c>
      <c r="I39" s="1"/>
      <c r="J39" s="6">
        <v>391.3</v>
      </c>
      <c r="K39" s="2"/>
      <c r="L39" s="2"/>
      <c r="M39" s="2">
        <f>AVERAGE(Tabelle3.Runde[[#This Row],[1.Rd]:[3.Rd]])</f>
        <v>391.3</v>
      </c>
      <c r="N39" s="4"/>
    </row>
    <row r="40" spans="1:14" x14ac:dyDescent="0.25">
      <c r="A40" s="1" t="s">
        <v>111</v>
      </c>
      <c r="B40" s="1" t="s">
        <v>107</v>
      </c>
      <c r="C40" s="1" t="s">
        <v>45</v>
      </c>
      <c r="D40" s="1" t="s">
        <v>22</v>
      </c>
      <c r="E40" s="3">
        <f>COUNTIF(Tabelle3.Runde[[#This Row],[1.Rd]:[3.Rd]],"&gt;399,9")</f>
        <v>0</v>
      </c>
      <c r="F40" s="1">
        <v>0</v>
      </c>
      <c r="G40" s="1">
        <v>1</v>
      </c>
      <c r="H40" s="6">
        <v>385.8</v>
      </c>
      <c r="I40" s="1"/>
      <c r="J40" s="6">
        <v>385.8</v>
      </c>
      <c r="K40" s="2"/>
      <c r="L40" s="2"/>
      <c r="M40" s="2">
        <f>AVERAGE(Tabelle3.Runde[[#This Row],[1.Rd]:[3.Rd]])</f>
        <v>385.8</v>
      </c>
      <c r="N40" s="4"/>
    </row>
    <row r="41" spans="1:14" x14ac:dyDescent="0.25">
      <c r="A41" s="1" t="s">
        <v>112</v>
      </c>
      <c r="B41" s="1" t="s">
        <v>110</v>
      </c>
      <c r="C41" s="1" t="s">
        <v>31</v>
      </c>
      <c r="D41" s="1" t="s">
        <v>24</v>
      </c>
      <c r="E41" s="3">
        <f>COUNTIF(Tabelle3.Runde[[#This Row],[1.Rd]:[3.Rd]],"&gt;399,9")</f>
        <v>0</v>
      </c>
      <c r="F41" s="1">
        <v>0</v>
      </c>
      <c r="G41" s="1">
        <v>1</v>
      </c>
      <c r="H41" s="6">
        <v>380.4</v>
      </c>
      <c r="I41" s="1"/>
      <c r="J41" s="6">
        <v>380.4</v>
      </c>
      <c r="K41" s="2"/>
      <c r="L41" s="2"/>
      <c r="M41" s="2">
        <f>AVERAGE(Tabelle3.Runde[[#This Row],[1.Rd]:[3.Rd]])</f>
        <v>380.4</v>
      </c>
      <c r="N41" s="4"/>
    </row>
    <row r="42" spans="1:14" x14ac:dyDescent="0.25">
      <c r="A42" s="1" t="s">
        <v>118</v>
      </c>
      <c r="B42" s="1"/>
      <c r="C42" s="1" t="s">
        <v>69</v>
      </c>
      <c r="D42" s="1" t="s">
        <v>20</v>
      </c>
      <c r="E42" s="3">
        <f>COUNTIF(Tabelle3.Runde[[#This Row],[1.Rd]:[3.Rd]],"&gt;399,9")</f>
        <v>0</v>
      </c>
      <c r="F42" s="1">
        <v>0</v>
      </c>
      <c r="G42" s="1">
        <v>1</v>
      </c>
      <c r="H42" s="2">
        <v>375.1</v>
      </c>
      <c r="I42" s="1"/>
      <c r="J42" s="2"/>
      <c r="K42" s="2"/>
      <c r="L42" s="2">
        <v>375.1</v>
      </c>
      <c r="M42" s="2">
        <f>AVERAGE(Tabelle3.Runde[[#This Row],[1.Rd]:[3.Rd]])</f>
        <v>375.1</v>
      </c>
    </row>
    <row r="43" spans="1:14" x14ac:dyDescent="0.25">
      <c r="A43" s="1" t="s">
        <v>119</v>
      </c>
      <c r="B43" s="1" t="s">
        <v>118</v>
      </c>
      <c r="C43" s="1" t="s">
        <v>53</v>
      </c>
      <c r="D43" s="1" t="s">
        <v>25</v>
      </c>
      <c r="E43" s="3">
        <f>COUNTIF(Tabelle3.Runde[[#This Row],[1.Rd]:[3.Rd]],"&gt;399,9")</f>
        <v>0</v>
      </c>
      <c r="F43" s="1">
        <v>0</v>
      </c>
      <c r="G43" s="1">
        <v>1</v>
      </c>
      <c r="H43" s="6">
        <v>372.9</v>
      </c>
      <c r="I43" s="1"/>
      <c r="J43" s="6">
        <v>372.9</v>
      </c>
      <c r="K43" s="2"/>
      <c r="L43" s="2"/>
      <c r="M43" s="2">
        <f>AVERAGE(Tabelle3.Runde[[#This Row],[1.Rd]:[3.Rd]])</f>
        <v>372.9</v>
      </c>
    </row>
    <row r="44" spans="1:14" x14ac:dyDescent="0.25">
      <c r="A44" s="1" t="s">
        <v>120</v>
      </c>
      <c r="B44" s="1" t="s">
        <v>119</v>
      </c>
      <c r="C44" s="1" t="s">
        <v>50</v>
      </c>
      <c r="D44" s="1" t="s">
        <v>29</v>
      </c>
      <c r="E44" s="3">
        <f>COUNTIF(Tabelle3.Runde[[#This Row],[1.Rd]:[3.Rd]],"&gt;399,9")</f>
        <v>0</v>
      </c>
      <c r="F44" s="1">
        <v>0</v>
      </c>
      <c r="G44" s="1">
        <v>1</v>
      </c>
      <c r="H44" s="6">
        <v>372.6</v>
      </c>
      <c r="I44" s="1"/>
      <c r="J44" s="6">
        <v>372.6</v>
      </c>
      <c r="K44" s="2"/>
      <c r="L44" s="2"/>
      <c r="M44" s="2">
        <f>AVERAGE(Tabelle3.Runde[[#This Row],[1.Rd]:[3.Rd]])</f>
        <v>372.6</v>
      </c>
    </row>
    <row r="45" spans="1:14" x14ac:dyDescent="0.25">
      <c r="A45" s="1" t="s">
        <v>121</v>
      </c>
      <c r="B45" s="1" t="s">
        <v>120</v>
      </c>
      <c r="C45" s="1" t="s">
        <v>41</v>
      </c>
      <c r="D45" s="1" t="s">
        <v>23</v>
      </c>
      <c r="E45" s="3">
        <f>COUNTIF(Tabelle3.Runde[[#This Row],[1.Rd]:[3.Rd]],"&gt;399,9")</f>
        <v>0</v>
      </c>
      <c r="F45" s="1">
        <v>0</v>
      </c>
      <c r="G45" s="1">
        <v>1</v>
      </c>
      <c r="H45" s="6">
        <v>362.8</v>
      </c>
      <c r="I45" s="1"/>
      <c r="J45" s="6">
        <v>362.8</v>
      </c>
      <c r="K45" s="2"/>
      <c r="L45" s="2"/>
      <c r="M45" s="2">
        <f>AVERAGE(Tabelle3.Runde[[#This Row],[1.Rd]:[3.Rd]])</f>
        <v>362.8</v>
      </c>
    </row>
    <row r="46" spans="1:14" x14ac:dyDescent="0.25">
      <c r="A46" s="1" t="s">
        <v>70</v>
      </c>
      <c r="B46" s="1"/>
      <c r="C46" s="1"/>
      <c r="D46" s="1"/>
      <c r="E46" s="1">
        <f>SUBTOTAL(109,Tabelle3.Runde[400,0])</f>
        <v>19</v>
      </c>
      <c r="F46" s="1"/>
      <c r="G46" s="1"/>
      <c r="H46" s="1"/>
      <c r="I46" s="1"/>
      <c r="J46" s="1"/>
      <c r="K46" s="1"/>
      <c r="L46" s="1"/>
      <c r="M46" s="2"/>
    </row>
    <row r="47" spans="1:14" x14ac:dyDescent="0.25">
      <c r="C47" s="1"/>
      <c r="D47" s="1"/>
    </row>
    <row r="48" spans="1:1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6:D45" xr:uid="{EB47F20B-60FC-4150-99C8-433DA48FEC46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9ED18-0A6B-4746-85A0-B595A75ACD81}">
  <dimension ref="A1:O58"/>
  <sheetViews>
    <sheetView zoomScale="80" zoomScaleNormal="80" workbookViewId="0">
      <selection activeCell="E7" sqref="E7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20.5703125" bestFit="1" customWidth="1"/>
    <col min="5" max="5" width="11.7109375" bestFit="1" customWidth="1"/>
    <col min="6" max="7" width="11.7109375" customWidth="1"/>
    <col min="8" max="8" width="13" bestFit="1" customWidth="1"/>
    <col min="9" max="9" width="2.5703125" customWidth="1"/>
    <col min="10" max="12" width="10.85546875" bestFit="1" customWidth="1"/>
    <col min="13" max="13" width="10.85546875" customWidth="1"/>
    <col min="14" max="14" width="13.42578125" customWidth="1"/>
  </cols>
  <sheetData>
    <row r="1" spans="1:15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15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5" spans="1:15" x14ac:dyDescent="0.25">
      <c r="A5" t="s">
        <v>3</v>
      </c>
      <c r="B5" t="s">
        <v>4</v>
      </c>
      <c r="C5" s="1" t="s">
        <v>5</v>
      </c>
      <c r="D5" s="1" t="s">
        <v>6</v>
      </c>
      <c r="E5" s="2" t="s">
        <v>74</v>
      </c>
      <c r="F5" s="1" t="s">
        <v>7</v>
      </c>
      <c r="G5" s="1" t="s">
        <v>8</v>
      </c>
      <c r="H5" s="1" t="s">
        <v>9</v>
      </c>
      <c r="I5" s="1" t="s">
        <v>113</v>
      </c>
      <c r="J5" s="1" t="s">
        <v>114</v>
      </c>
      <c r="K5" s="1" t="s">
        <v>115</v>
      </c>
      <c r="L5" s="1" t="s">
        <v>117</v>
      </c>
      <c r="M5" s="1" t="s">
        <v>122</v>
      </c>
      <c r="N5" s="1" t="s">
        <v>116</v>
      </c>
    </row>
    <row r="6" spans="1:15" x14ac:dyDescent="0.25">
      <c r="A6" s="1" t="s">
        <v>77</v>
      </c>
      <c r="B6" s="1" t="s">
        <v>77</v>
      </c>
      <c r="C6" s="1" t="s">
        <v>51</v>
      </c>
      <c r="D6" s="1" t="s">
        <v>25</v>
      </c>
      <c r="E6" s="3">
        <f>COUNTIF(Tabelle4.Runde[[#This Row],[1.Rd]:[4.Rd]],"&gt;399,9")</f>
        <v>4</v>
      </c>
      <c r="F6" s="1">
        <v>4</v>
      </c>
      <c r="G6" s="1">
        <v>4</v>
      </c>
      <c r="H6" s="2">
        <v>407.4</v>
      </c>
      <c r="I6" s="1"/>
      <c r="J6" s="6">
        <v>409.9</v>
      </c>
      <c r="K6" s="2">
        <v>409.1</v>
      </c>
      <c r="L6" s="2">
        <v>404.4</v>
      </c>
      <c r="M6" s="2">
        <v>406</v>
      </c>
      <c r="N6" s="2">
        <f>AVERAGE(Tabelle4.Runde[[#This Row],[1.Rd]:[4.Rd]])</f>
        <v>407.35</v>
      </c>
      <c r="O6" s="4"/>
    </row>
    <row r="7" spans="1:15" x14ac:dyDescent="0.25">
      <c r="A7" s="1" t="s">
        <v>78</v>
      </c>
      <c r="B7" s="1" t="s">
        <v>82</v>
      </c>
      <c r="C7" s="1" t="s">
        <v>38</v>
      </c>
      <c r="D7" s="1" t="s">
        <v>26</v>
      </c>
      <c r="E7" s="3">
        <f>COUNTIF(Tabelle4.Runde[[#This Row],[1.Rd]:[4.Rd]],"&gt;399,9")</f>
        <v>0</v>
      </c>
      <c r="F7" s="1">
        <v>3</v>
      </c>
      <c r="G7" s="1">
        <v>4</v>
      </c>
      <c r="H7" s="2">
        <v>388.4</v>
      </c>
      <c r="I7" s="1"/>
      <c r="J7" s="6">
        <v>384.1</v>
      </c>
      <c r="K7" s="2">
        <v>388.9</v>
      </c>
      <c r="L7" s="2">
        <v>392.2</v>
      </c>
      <c r="M7" s="2">
        <v>388.3</v>
      </c>
      <c r="N7" s="2">
        <f>AVERAGE(Tabelle4.Runde[[#This Row],[1.Rd]:[4.Rd]])</f>
        <v>388.375</v>
      </c>
      <c r="O7" s="4"/>
    </row>
    <row r="8" spans="1:15" x14ac:dyDescent="0.25">
      <c r="A8" s="1" t="s">
        <v>79</v>
      </c>
      <c r="B8" s="1" t="s">
        <v>86</v>
      </c>
      <c r="C8" s="1" t="s">
        <v>55</v>
      </c>
      <c r="D8" s="1" t="s">
        <v>20</v>
      </c>
      <c r="E8" s="3">
        <f>COUNTIF(Tabelle4.Runde[[#This Row],[1.Rd]:[4.Rd]],"&gt;399,9")</f>
        <v>3</v>
      </c>
      <c r="F8" s="1">
        <v>3</v>
      </c>
      <c r="G8" s="1">
        <v>3</v>
      </c>
      <c r="H8" s="2">
        <f>AVERAGE(Tabelle4.Runde[[#This Row],[1.Rd]:[4.Rd]])</f>
        <v>405.2</v>
      </c>
      <c r="I8" s="1"/>
      <c r="J8" s="6">
        <v>406.4</v>
      </c>
      <c r="K8" s="2">
        <v>401.5</v>
      </c>
      <c r="L8" s="2"/>
      <c r="M8" s="2">
        <v>407.7</v>
      </c>
      <c r="N8" s="2">
        <f>AVERAGE(Tabelle4.Runde[[#This Row],[1.Rd]:[4.Rd]])</f>
        <v>405.2</v>
      </c>
      <c r="O8" s="4"/>
    </row>
    <row r="9" spans="1:15" x14ac:dyDescent="0.25">
      <c r="A9" s="1" t="s">
        <v>80</v>
      </c>
      <c r="B9" s="1" t="s">
        <v>85</v>
      </c>
      <c r="C9" s="1" t="s">
        <v>66</v>
      </c>
      <c r="D9" s="1" t="s">
        <v>23</v>
      </c>
      <c r="E9" s="3">
        <f>COUNTIF(Tabelle4.Runde[[#This Row],[1.Rd]:[4.Rd]],"&gt;399,9")</f>
        <v>3</v>
      </c>
      <c r="F9" s="1">
        <v>3</v>
      </c>
      <c r="G9" s="1">
        <v>3</v>
      </c>
      <c r="H9" s="2">
        <v>404.3</v>
      </c>
      <c r="I9" s="1"/>
      <c r="J9" s="2"/>
      <c r="K9" s="2">
        <v>407.2</v>
      </c>
      <c r="L9" s="2">
        <v>403.6</v>
      </c>
      <c r="M9" s="2">
        <v>402.1</v>
      </c>
      <c r="N9" s="2">
        <f>AVERAGE(Tabelle4.Runde[[#This Row],[1.Rd]:[4.Rd]])</f>
        <v>404.3</v>
      </c>
      <c r="O9" s="4"/>
    </row>
    <row r="10" spans="1:15" x14ac:dyDescent="0.25">
      <c r="A10" s="1" t="s">
        <v>81</v>
      </c>
      <c r="B10" s="1" t="s">
        <v>87</v>
      </c>
      <c r="C10" s="1" t="s">
        <v>65</v>
      </c>
      <c r="D10" s="1" t="s">
        <v>27</v>
      </c>
      <c r="E10" s="3">
        <f>COUNTIF(Tabelle4.Runde[[#This Row],[1.Rd]:[4.Rd]],"&gt;399,9")</f>
        <v>0</v>
      </c>
      <c r="F10" s="1">
        <v>3</v>
      </c>
      <c r="G10" s="1">
        <v>3</v>
      </c>
      <c r="H10" s="2">
        <v>395.4</v>
      </c>
      <c r="I10" s="1"/>
      <c r="J10" s="2"/>
      <c r="K10" s="2">
        <v>392</v>
      </c>
      <c r="L10" s="2">
        <v>398.7</v>
      </c>
      <c r="M10" s="2">
        <v>394.5</v>
      </c>
      <c r="N10" s="2">
        <f>AVERAGE(Tabelle4.Runde[[#This Row],[1.Rd]:[4.Rd]])</f>
        <v>395.06666666666666</v>
      </c>
      <c r="O10" s="4"/>
    </row>
    <row r="11" spans="1:15" x14ac:dyDescent="0.25">
      <c r="A11" s="1" t="s">
        <v>82</v>
      </c>
      <c r="B11" s="1" t="s">
        <v>78</v>
      </c>
      <c r="C11" s="1" t="s">
        <v>36</v>
      </c>
      <c r="D11" s="1" t="s">
        <v>26</v>
      </c>
      <c r="E11" s="3">
        <f>COUNTIF(Tabelle4.Runde[[#This Row],[1.Rd]:[4.Rd]],"&gt;399,9")</f>
        <v>1</v>
      </c>
      <c r="F11" s="1">
        <v>2</v>
      </c>
      <c r="G11" s="1">
        <v>3</v>
      </c>
      <c r="H11" s="2">
        <v>401</v>
      </c>
      <c r="I11" s="1"/>
      <c r="J11" s="6">
        <v>405.8</v>
      </c>
      <c r="K11" s="2">
        <v>398.9</v>
      </c>
      <c r="L11" s="2">
        <v>398.2</v>
      </c>
      <c r="M11" s="2"/>
      <c r="N11" s="2">
        <f>AVERAGE(Tabelle4.Runde[[#This Row],[1.Rd]:[4.Rd]])</f>
        <v>400.9666666666667</v>
      </c>
      <c r="O11" s="4"/>
    </row>
    <row r="12" spans="1:15" x14ac:dyDescent="0.25">
      <c r="A12" s="1" t="s">
        <v>83</v>
      </c>
      <c r="B12" s="1" t="s">
        <v>91</v>
      </c>
      <c r="C12" s="1" t="s">
        <v>54</v>
      </c>
      <c r="D12" s="1" t="s">
        <v>20</v>
      </c>
      <c r="E12" s="3">
        <f>COUNTIF(Tabelle4.Runde[[#This Row],[1.Rd]:[4.Rd]],"&gt;399,9")</f>
        <v>2</v>
      </c>
      <c r="F12" s="1">
        <v>2</v>
      </c>
      <c r="G12" s="1">
        <v>4</v>
      </c>
      <c r="H12" s="2">
        <v>398.2</v>
      </c>
      <c r="I12" s="1"/>
      <c r="J12" s="6">
        <v>395.1</v>
      </c>
      <c r="K12" s="2">
        <v>388</v>
      </c>
      <c r="L12" s="2">
        <v>400.9</v>
      </c>
      <c r="M12" s="2">
        <v>408.9</v>
      </c>
      <c r="N12" s="2">
        <f>AVERAGE(Tabelle4.Runde[[#This Row],[1.Rd]:[4.Rd]])</f>
        <v>398.22500000000002</v>
      </c>
      <c r="O12" s="4"/>
    </row>
    <row r="13" spans="1:15" x14ac:dyDescent="0.25">
      <c r="A13" s="1" t="s">
        <v>84</v>
      </c>
      <c r="B13" s="1" t="s">
        <v>88</v>
      </c>
      <c r="C13" s="1" t="s">
        <v>37</v>
      </c>
      <c r="D13" s="1" t="s">
        <v>26</v>
      </c>
      <c r="E13" s="3">
        <f>COUNTIF(Tabelle4.Runde[[#This Row],[1.Rd]:[4.Rd]],"&gt;399,9")</f>
        <v>0</v>
      </c>
      <c r="F13" s="1">
        <v>2</v>
      </c>
      <c r="G13" s="1">
        <v>4</v>
      </c>
      <c r="H13" s="2">
        <v>397.3</v>
      </c>
      <c r="I13" s="1"/>
      <c r="J13" s="6">
        <v>397</v>
      </c>
      <c r="K13" s="2">
        <v>397.9</v>
      </c>
      <c r="L13" s="2">
        <v>396.9</v>
      </c>
      <c r="M13" s="2">
        <v>397.5</v>
      </c>
      <c r="N13" s="2">
        <f>AVERAGE(Tabelle4.Runde[[#This Row],[1.Rd]:[4.Rd]])</f>
        <v>397.32499999999999</v>
      </c>
      <c r="O13" s="4"/>
    </row>
    <row r="14" spans="1:15" x14ac:dyDescent="0.25">
      <c r="A14" s="1" t="s">
        <v>85</v>
      </c>
      <c r="B14" s="1" t="s">
        <v>81</v>
      </c>
      <c r="C14" s="1" t="s">
        <v>40</v>
      </c>
      <c r="D14" s="1" t="s">
        <v>23</v>
      </c>
      <c r="E14" s="3">
        <f>COUNTIF(Tabelle4.Runde[[#This Row],[1.Rd]:[4.Rd]],"&gt;399,9")</f>
        <v>0</v>
      </c>
      <c r="F14" s="1">
        <v>2</v>
      </c>
      <c r="G14" s="1">
        <v>4</v>
      </c>
      <c r="H14" s="6">
        <v>392.3</v>
      </c>
      <c r="I14" s="1"/>
      <c r="J14" s="6">
        <v>391.5</v>
      </c>
      <c r="K14" s="2">
        <v>394.9</v>
      </c>
      <c r="L14" s="2">
        <v>396.8</v>
      </c>
      <c r="M14" s="2">
        <v>386.1</v>
      </c>
      <c r="N14" s="2">
        <f>AVERAGE(Tabelle4.Runde[[#This Row],[1.Rd]:[4.Rd]])</f>
        <v>392.32500000000005</v>
      </c>
      <c r="O14" s="4"/>
    </row>
    <row r="15" spans="1:15" x14ac:dyDescent="0.25">
      <c r="A15" s="1" t="s">
        <v>86</v>
      </c>
      <c r="B15" s="1" t="s">
        <v>83</v>
      </c>
      <c r="C15" s="1" t="s">
        <v>30</v>
      </c>
      <c r="D15" s="1" t="s">
        <v>24</v>
      </c>
      <c r="E15" s="3">
        <f>COUNTIF(Tabelle4.Runde[[#This Row],[1.Rd]:[4.Rd]],"&gt;399,9")</f>
        <v>3</v>
      </c>
      <c r="F15" s="1">
        <v>2</v>
      </c>
      <c r="G15" s="1">
        <v>4</v>
      </c>
      <c r="H15" s="2">
        <v>379.3</v>
      </c>
      <c r="I15" s="1"/>
      <c r="J15" s="6">
        <v>305.2</v>
      </c>
      <c r="K15" s="2">
        <v>402.8</v>
      </c>
      <c r="L15" s="2">
        <v>408.9</v>
      </c>
      <c r="M15" s="2">
        <v>400.4</v>
      </c>
      <c r="N15" s="2">
        <f>AVERAGE(Tabelle4.Runde[[#This Row],[1.Rd]:[4.Rd]])</f>
        <v>379.32500000000005</v>
      </c>
      <c r="O15" s="4"/>
    </row>
    <row r="16" spans="1:15" x14ac:dyDescent="0.25">
      <c r="A16" s="1" t="s">
        <v>87</v>
      </c>
      <c r="B16" s="1" t="s">
        <v>79</v>
      </c>
      <c r="C16" s="1" t="s">
        <v>44</v>
      </c>
      <c r="D16" s="1" t="s">
        <v>27</v>
      </c>
      <c r="E16" s="3">
        <f>COUNTIF(Tabelle4.Runde[[#This Row],[1.Rd]:[4.Rd]],"&gt;399,9")</f>
        <v>1</v>
      </c>
      <c r="F16" s="1">
        <v>2</v>
      </c>
      <c r="G16" s="1">
        <v>3</v>
      </c>
      <c r="H16" s="2">
        <v>398.8</v>
      </c>
      <c r="I16" s="1"/>
      <c r="J16" s="6">
        <v>401.1</v>
      </c>
      <c r="K16" s="2">
        <v>395.7</v>
      </c>
      <c r="L16" s="2">
        <v>399.5</v>
      </c>
      <c r="M16" s="2"/>
      <c r="N16" s="2">
        <f>AVERAGE(Tabelle4.Runde[[#This Row],[1.Rd]:[4.Rd]])</f>
        <v>398.76666666666665</v>
      </c>
      <c r="O16" s="4"/>
    </row>
    <row r="17" spans="1:15" x14ac:dyDescent="0.25">
      <c r="A17" s="1" t="s">
        <v>88</v>
      </c>
      <c r="B17" s="1" t="s">
        <v>80</v>
      </c>
      <c r="C17" s="1" t="s">
        <v>75</v>
      </c>
      <c r="D17" s="1" t="s">
        <v>25</v>
      </c>
      <c r="E17" s="3">
        <f>COUNTIF(Tabelle4.Runde[[#This Row],[1.Rd]:[4.Rd]],"&gt;399,9")</f>
        <v>1</v>
      </c>
      <c r="F17" s="1">
        <v>2</v>
      </c>
      <c r="G17" s="1">
        <v>3</v>
      </c>
      <c r="H17" s="2">
        <v>394.7</v>
      </c>
      <c r="I17" s="1"/>
      <c r="J17" s="6">
        <v>401.2</v>
      </c>
      <c r="K17" s="2">
        <v>388.5</v>
      </c>
      <c r="L17" s="2">
        <v>394.5</v>
      </c>
      <c r="M17" s="2"/>
      <c r="N17" s="2">
        <f>AVERAGE(Tabelle4.Runde[[#This Row],[1.Rd]:[4.Rd]])</f>
        <v>394.73333333333335</v>
      </c>
      <c r="O17" s="4"/>
    </row>
    <row r="18" spans="1:15" x14ac:dyDescent="0.25">
      <c r="A18" s="1" t="s">
        <v>89</v>
      </c>
      <c r="B18" s="1" t="s">
        <v>84</v>
      </c>
      <c r="C18" s="1" t="s">
        <v>63</v>
      </c>
      <c r="D18" s="1" t="s">
        <v>24</v>
      </c>
      <c r="E18" s="3">
        <f>COUNTIF(Tabelle4.Runde[[#This Row],[1.Rd]:[4.Rd]],"&gt;399,9")</f>
        <v>2</v>
      </c>
      <c r="F18" s="1">
        <v>2</v>
      </c>
      <c r="G18" s="1">
        <v>2</v>
      </c>
      <c r="H18" s="2">
        <v>416.9</v>
      </c>
      <c r="I18" s="1"/>
      <c r="J18" s="2"/>
      <c r="K18" s="2">
        <v>416.9</v>
      </c>
      <c r="L18" s="2">
        <v>416.9</v>
      </c>
      <c r="M18" s="2"/>
      <c r="N18" s="2">
        <f>AVERAGE(Tabelle4.Runde[[#This Row],[1.Rd]:[4.Rd]])</f>
        <v>416.9</v>
      </c>
      <c r="O18" s="4"/>
    </row>
    <row r="19" spans="1:15" x14ac:dyDescent="0.25">
      <c r="A19" s="1" t="s">
        <v>90</v>
      </c>
      <c r="B19" s="1" t="s">
        <v>93</v>
      </c>
      <c r="C19" s="1" t="s">
        <v>34</v>
      </c>
      <c r="D19" s="1" t="s">
        <v>28</v>
      </c>
      <c r="E19" s="3">
        <f>COUNTIF(Tabelle4.Runde[[#This Row],[1.Rd]:[4.Rd]],"&gt;399,9")</f>
        <v>0</v>
      </c>
      <c r="F19" s="1">
        <v>1</v>
      </c>
      <c r="G19" s="1">
        <v>4</v>
      </c>
      <c r="H19" s="2">
        <v>398.7</v>
      </c>
      <c r="I19" s="1"/>
      <c r="J19" s="6">
        <v>390.5</v>
      </c>
      <c r="K19" s="2">
        <v>387.3</v>
      </c>
      <c r="L19" s="2">
        <v>388.8</v>
      </c>
      <c r="M19" s="2">
        <v>392.2</v>
      </c>
      <c r="N19" s="2">
        <f>AVERAGE(Tabelle4.Runde[[#This Row],[1.Rd]:[4.Rd]])</f>
        <v>389.7</v>
      </c>
      <c r="O19" s="4"/>
    </row>
    <row r="20" spans="1:15" x14ac:dyDescent="0.25">
      <c r="A20" s="1" t="s">
        <v>91</v>
      </c>
      <c r="B20" s="1" t="s">
        <v>99</v>
      </c>
      <c r="C20" s="1" t="s">
        <v>48</v>
      </c>
      <c r="D20" s="1" t="s">
        <v>29</v>
      </c>
      <c r="E20" s="3">
        <f>COUNTIF(Tabelle4.Runde[[#This Row],[1.Rd]:[4.Rd]],"&gt;399,9")</f>
        <v>0</v>
      </c>
      <c r="F20" s="1">
        <v>1</v>
      </c>
      <c r="G20" s="1">
        <v>4</v>
      </c>
      <c r="H20" s="6">
        <v>398.4</v>
      </c>
      <c r="I20" s="1"/>
      <c r="J20" s="6">
        <v>397.2</v>
      </c>
      <c r="K20" s="2">
        <v>398.6</v>
      </c>
      <c r="L20" s="2">
        <v>399.6</v>
      </c>
      <c r="M20" s="2">
        <v>398.2</v>
      </c>
      <c r="N20" s="2">
        <f>AVERAGE(Tabelle4.Runde[[#This Row],[1.Rd]:[4.Rd]])</f>
        <v>398.40000000000003</v>
      </c>
      <c r="O20" s="4"/>
    </row>
    <row r="21" spans="1:15" x14ac:dyDescent="0.25">
      <c r="A21" s="1" t="s">
        <v>92</v>
      </c>
      <c r="B21" s="1" t="s">
        <v>90</v>
      </c>
      <c r="C21" s="1" t="s">
        <v>42</v>
      </c>
      <c r="D21" s="1" t="s">
        <v>27</v>
      </c>
      <c r="E21" s="3">
        <f>COUNTIF(Tabelle4.Runde[[#This Row],[1.Rd]:[4.Rd]],"&gt;399,9")</f>
        <v>0</v>
      </c>
      <c r="F21" s="1">
        <v>1</v>
      </c>
      <c r="G21" s="1">
        <v>4</v>
      </c>
      <c r="H21" s="2">
        <v>395.4</v>
      </c>
      <c r="I21" s="1"/>
      <c r="J21" s="6">
        <v>397.6</v>
      </c>
      <c r="K21" s="2">
        <v>396.9</v>
      </c>
      <c r="L21" s="2">
        <v>395</v>
      </c>
      <c r="M21" s="2">
        <v>391.9</v>
      </c>
      <c r="N21" s="2">
        <f>AVERAGE(Tabelle4.Runde[[#This Row],[1.Rd]:[4.Rd]])</f>
        <v>395.35</v>
      </c>
      <c r="O21" s="4"/>
    </row>
    <row r="22" spans="1:15" x14ac:dyDescent="0.25">
      <c r="A22" s="1" t="s">
        <v>93</v>
      </c>
      <c r="B22" s="1" t="s">
        <v>92</v>
      </c>
      <c r="C22" s="1" t="s">
        <v>56</v>
      </c>
      <c r="D22" s="1" t="s">
        <v>20</v>
      </c>
      <c r="E22" s="3">
        <f>COUNTIF(Tabelle4.Runde[[#This Row],[1.Rd]:[4.Rd]],"&gt;399,9")</f>
        <v>0</v>
      </c>
      <c r="F22" s="1">
        <v>1</v>
      </c>
      <c r="G22" s="1">
        <v>4</v>
      </c>
      <c r="H22" s="2">
        <v>393.2</v>
      </c>
      <c r="I22" s="1"/>
      <c r="J22" s="6">
        <v>392.3</v>
      </c>
      <c r="K22" s="2">
        <v>398.8</v>
      </c>
      <c r="L22" s="2">
        <v>390</v>
      </c>
      <c r="M22" s="2">
        <v>391.8</v>
      </c>
      <c r="N22" s="2">
        <f>AVERAGE(Tabelle4.Runde[[#This Row],[1.Rd]:[4.Rd]])</f>
        <v>393.22499999999997</v>
      </c>
      <c r="O22" s="4"/>
    </row>
    <row r="23" spans="1:15" x14ac:dyDescent="0.25">
      <c r="A23" s="1" t="s">
        <v>94</v>
      </c>
      <c r="B23" s="1" t="s">
        <v>89</v>
      </c>
      <c r="C23" s="1" t="s">
        <v>39</v>
      </c>
      <c r="D23" s="1" t="s">
        <v>23</v>
      </c>
      <c r="E23" s="3">
        <f>COUNTIF(Tabelle4.Runde[[#This Row],[1.Rd]:[4.Rd]],"&gt;399,9")</f>
        <v>0</v>
      </c>
      <c r="F23" s="1">
        <v>1</v>
      </c>
      <c r="G23" s="1">
        <v>4</v>
      </c>
      <c r="H23" s="6">
        <v>391.8</v>
      </c>
      <c r="I23" s="1"/>
      <c r="J23" s="6">
        <v>397.2</v>
      </c>
      <c r="K23" s="2">
        <v>398.7</v>
      </c>
      <c r="L23" s="2">
        <v>393.8</v>
      </c>
      <c r="M23" s="2">
        <v>377.4</v>
      </c>
      <c r="N23" s="2">
        <f>AVERAGE(Tabelle4.Runde[[#This Row],[1.Rd]:[4.Rd]])</f>
        <v>391.77499999999998</v>
      </c>
      <c r="O23" s="4"/>
    </row>
    <row r="24" spans="1:15" x14ac:dyDescent="0.25">
      <c r="A24" s="1" t="s">
        <v>95</v>
      </c>
      <c r="B24" s="1" t="s">
        <v>102</v>
      </c>
      <c r="C24" s="1" t="s">
        <v>35</v>
      </c>
      <c r="D24" s="1" t="s">
        <v>28</v>
      </c>
      <c r="E24" s="3">
        <f>COUNTIF(Tabelle4.Runde[[#This Row],[1.Rd]:[4.Rd]],"&gt;399,9")</f>
        <v>0</v>
      </c>
      <c r="F24" s="1">
        <v>1</v>
      </c>
      <c r="G24" s="1">
        <v>4</v>
      </c>
      <c r="H24" s="2">
        <v>386.4</v>
      </c>
      <c r="I24" s="1"/>
      <c r="J24" s="6">
        <v>389.5</v>
      </c>
      <c r="K24" s="2">
        <v>383.9</v>
      </c>
      <c r="L24" s="2">
        <v>382.7</v>
      </c>
      <c r="M24" s="2">
        <v>389.3</v>
      </c>
      <c r="N24" s="2">
        <f>AVERAGE(Tabelle4.Runde[[#This Row],[1.Rd]:[4.Rd]])</f>
        <v>386.34999999999997</v>
      </c>
      <c r="O24" s="4"/>
    </row>
    <row r="25" spans="1:15" x14ac:dyDescent="0.25">
      <c r="A25" s="1" t="s">
        <v>96</v>
      </c>
      <c r="B25" s="1" t="s">
        <v>104</v>
      </c>
      <c r="C25" s="1" t="s">
        <v>47</v>
      </c>
      <c r="D25" s="1" t="s">
        <v>22</v>
      </c>
      <c r="E25" s="3">
        <f>COUNTIF(Tabelle4.Runde[[#This Row],[1.Rd]:[4.Rd]],"&gt;399,9")</f>
        <v>0</v>
      </c>
      <c r="F25" s="1">
        <v>1</v>
      </c>
      <c r="G25" s="1">
        <v>4</v>
      </c>
      <c r="H25" s="2">
        <v>382.8</v>
      </c>
      <c r="I25" s="1"/>
      <c r="J25" s="6">
        <v>375.7</v>
      </c>
      <c r="K25" s="2">
        <v>377.4</v>
      </c>
      <c r="L25" s="2">
        <v>392.6</v>
      </c>
      <c r="M25" s="2">
        <v>385.5</v>
      </c>
      <c r="N25" s="2">
        <f>AVERAGE(Tabelle4.Runde[[#This Row],[1.Rd]:[4.Rd]])</f>
        <v>382.79999999999995</v>
      </c>
      <c r="O25" s="4"/>
    </row>
    <row r="26" spans="1:15" x14ac:dyDescent="0.25">
      <c r="A26" s="1" t="s">
        <v>97</v>
      </c>
      <c r="B26" s="1" t="s">
        <v>94</v>
      </c>
      <c r="C26" s="1" t="s">
        <v>67</v>
      </c>
      <c r="D26" s="1" t="s">
        <v>29</v>
      </c>
      <c r="E26" s="3">
        <f>COUNTIF(Tabelle4.Runde[[#This Row],[1.Rd]:[4.Rd]],"&gt;399,9")</f>
        <v>2</v>
      </c>
      <c r="F26" s="1">
        <v>1</v>
      </c>
      <c r="G26" s="1">
        <v>3</v>
      </c>
      <c r="H26" s="2">
        <v>402.8</v>
      </c>
      <c r="I26" s="1"/>
      <c r="J26" s="2"/>
      <c r="K26" s="2">
        <v>405.3</v>
      </c>
      <c r="L26" s="2">
        <v>405.3</v>
      </c>
      <c r="M26" s="2">
        <v>397.8</v>
      </c>
      <c r="N26" s="2">
        <f>AVERAGE(Tabelle4.Runde[[#This Row],[1.Rd]:[4.Rd]])</f>
        <v>402.8</v>
      </c>
      <c r="O26" s="4"/>
    </row>
    <row r="27" spans="1:15" x14ac:dyDescent="0.25">
      <c r="A27" s="1" t="s">
        <v>98</v>
      </c>
      <c r="B27" s="1" t="s">
        <v>97</v>
      </c>
      <c r="C27" s="1" t="s">
        <v>43</v>
      </c>
      <c r="D27" s="1" t="s">
        <v>27</v>
      </c>
      <c r="E27" s="3">
        <f>COUNTIF(Tabelle4.Runde[[#This Row],[1.Rd]:[4.Rd]],"&gt;399,9")</f>
        <v>1</v>
      </c>
      <c r="F27" s="1">
        <v>1</v>
      </c>
      <c r="G27" s="1">
        <v>2</v>
      </c>
      <c r="H27" s="6">
        <v>402.1</v>
      </c>
      <c r="I27" s="1"/>
      <c r="J27" s="6">
        <v>408.2</v>
      </c>
      <c r="K27" s="2"/>
      <c r="L27" s="2"/>
      <c r="M27" s="2">
        <v>396</v>
      </c>
      <c r="N27" s="2">
        <f>AVERAGE(Tabelle4.Runde[[#This Row],[1.Rd]:[4.Rd]])</f>
        <v>402.1</v>
      </c>
      <c r="O27" s="4"/>
    </row>
    <row r="28" spans="1:15" x14ac:dyDescent="0.25">
      <c r="A28" s="1" t="s">
        <v>99</v>
      </c>
      <c r="B28" s="1" t="s">
        <v>109</v>
      </c>
      <c r="C28" s="1" t="s">
        <v>76</v>
      </c>
      <c r="D28" s="1" t="s">
        <v>21</v>
      </c>
      <c r="E28" s="3">
        <f>COUNTIF(Tabelle4.Runde[[#This Row],[1.Rd]:[4.Rd]],"&gt;399,9")</f>
        <v>1</v>
      </c>
      <c r="F28" s="1">
        <v>1</v>
      </c>
      <c r="G28" s="1">
        <v>2</v>
      </c>
      <c r="H28" s="6">
        <v>398.5</v>
      </c>
      <c r="I28" s="1"/>
      <c r="J28" s="6">
        <v>395.1</v>
      </c>
      <c r="K28" s="2"/>
      <c r="L28" s="2"/>
      <c r="M28" s="2">
        <v>401.9</v>
      </c>
      <c r="N28" s="2">
        <f>AVERAGE(Tabelle4.Runde[[#This Row],[1.Rd]:[4.Rd]])</f>
        <v>398.5</v>
      </c>
      <c r="O28" s="4"/>
    </row>
    <row r="29" spans="1:15" x14ac:dyDescent="0.25">
      <c r="A29" s="1" t="s">
        <v>100</v>
      </c>
      <c r="B29" s="1" t="s">
        <v>95</v>
      </c>
      <c r="C29" s="1" t="s">
        <v>60</v>
      </c>
      <c r="D29" s="1" t="s">
        <v>22</v>
      </c>
      <c r="E29" s="3">
        <f>COUNTIF(Tabelle4.Runde[[#This Row],[1.Rd]:[4.Rd]],"&gt;399,9")</f>
        <v>0</v>
      </c>
      <c r="F29" s="1">
        <v>1</v>
      </c>
      <c r="G29" s="1">
        <v>2</v>
      </c>
      <c r="H29" s="2">
        <v>385.9</v>
      </c>
      <c r="I29" s="1"/>
      <c r="J29" s="2"/>
      <c r="K29" s="2">
        <v>378.9</v>
      </c>
      <c r="L29" s="2">
        <v>392.8</v>
      </c>
      <c r="M29" s="2"/>
      <c r="N29" s="2">
        <f>AVERAGE(Tabelle4.Runde[[#This Row],[1.Rd]:[4.Rd]])</f>
        <v>385.85</v>
      </c>
      <c r="O29" s="4"/>
    </row>
    <row r="30" spans="1:15" x14ac:dyDescent="0.25">
      <c r="A30" s="1" t="s">
        <v>101</v>
      </c>
      <c r="B30" s="1" t="s">
        <v>96</v>
      </c>
      <c r="C30" s="1" t="s">
        <v>64</v>
      </c>
      <c r="D30" s="1" t="s">
        <v>24</v>
      </c>
      <c r="E30" s="3">
        <f>COUNTIF(Tabelle4.Runde[[#This Row],[1.Rd]:[4.Rd]],"&gt;399,9")</f>
        <v>0</v>
      </c>
      <c r="F30" s="1">
        <v>1</v>
      </c>
      <c r="G30" s="1">
        <v>2</v>
      </c>
      <c r="H30" s="2">
        <v>385.7</v>
      </c>
      <c r="I30" s="1"/>
      <c r="J30" s="2"/>
      <c r="K30" s="2">
        <v>382</v>
      </c>
      <c r="L30" s="2">
        <v>389.4</v>
      </c>
      <c r="M30" s="2"/>
      <c r="N30" s="2">
        <f>AVERAGE(Tabelle4.Runde[[#This Row],[1.Rd]:[4.Rd]])</f>
        <v>385.7</v>
      </c>
      <c r="O30" s="4"/>
    </row>
    <row r="31" spans="1:15" x14ac:dyDescent="0.25">
      <c r="A31" s="1" t="s">
        <v>102</v>
      </c>
      <c r="B31" s="1" t="s">
        <v>112</v>
      </c>
      <c r="C31" s="1" t="s">
        <v>31</v>
      </c>
      <c r="D31" s="1" t="s">
        <v>24</v>
      </c>
      <c r="E31" s="3">
        <f>COUNTIF(Tabelle4.Runde[[#This Row],[1.Rd]:[4.Rd]],"&gt;399,9")</f>
        <v>0</v>
      </c>
      <c r="F31" s="1">
        <v>1</v>
      </c>
      <c r="G31" s="1">
        <v>2</v>
      </c>
      <c r="H31" s="6">
        <v>385.2</v>
      </c>
      <c r="I31" s="1"/>
      <c r="J31" s="6">
        <v>380.4</v>
      </c>
      <c r="K31" s="2"/>
      <c r="L31" s="2"/>
      <c r="M31" s="2">
        <v>389.9</v>
      </c>
      <c r="N31" s="2">
        <f>AVERAGE(Tabelle4.Runde[[#This Row],[1.Rd]:[4.Rd]])</f>
        <v>385.15</v>
      </c>
      <c r="O31" s="4"/>
    </row>
    <row r="32" spans="1:15" x14ac:dyDescent="0.25">
      <c r="A32" s="1" t="s">
        <v>103</v>
      </c>
      <c r="B32" s="1" t="s">
        <v>98</v>
      </c>
      <c r="C32" s="1" t="s">
        <v>32</v>
      </c>
      <c r="D32" s="1" t="s">
        <v>24</v>
      </c>
      <c r="E32" s="3">
        <f>COUNTIF(Tabelle4.Runde[[#This Row],[1.Rd]:[4.Rd]],"&gt;399,9")</f>
        <v>0</v>
      </c>
      <c r="F32" s="1">
        <v>1</v>
      </c>
      <c r="G32" s="1">
        <v>1</v>
      </c>
      <c r="H32" s="6">
        <v>398.8</v>
      </c>
      <c r="I32" s="1"/>
      <c r="J32" s="6">
        <v>398.8</v>
      </c>
      <c r="K32" s="2"/>
      <c r="L32" s="2"/>
      <c r="M32" s="2"/>
      <c r="N32" s="2">
        <f>AVERAGE(Tabelle4.Runde[[#This Row],[1.Rd]:[4.Rd]])</f>
        <v>398.8</v>
      </c>
      <c r="O32" s="4"/>
    </row>
    <row r="33" spans="1:15" x14ac:dyDescent="0.25">
      <c r="A33" s="1" t="s">
        <v>104</v>
      </c>
      <c r="B33" s="1" t="s">
        <v>126</v>
      </c>
      <c r="C33" s="1" t="s">
        <v>124</v>
      </c>
      <c r="D33" s="1" t="s">
        <v>24</v>
      </c>
      <c r="E33" s="3">
        <f>COUNTIF(Tabelle4.Runde[[#This Row],[1.Rd]:[4.Rd]],"&gt;399,9")</f>
        <v>0</v>
      </c>
      <c r="F33" s="1">
        <v>1</v>
      </c>
      <c r="G33" s="1">
        <v>1</v>
      </c>
      <c r="H33" s="2">
        <v>383.9</v>
      </c>
      <c r="I33" s="1"/>
      <c r="J33" s="2"/>
      <c r="K33" s="2"/>
      <c r="L33" s="2"/>
      <c r="M33" s="2">
        <v>383.9</v>
      </c>
      <c r="N33" s="2">
        <f>AVERAGE(Tabelle4.Runde[[#This Row],[1.Rd]:[4.Rd]])</f>
        <v>383.9</v>
      </c>
      <c r="O33" s="4"/>
    </row>
    <row r="34" spans="1:15" x14ac:dyDescent="0.25">
      <c r="A34" s="1" t="s">
        <v>105</v>
      </c>
      <c r="B34" s="1" t="s">
        <v>100</v>
      </c>
      <c r="C34" s="1" t="s">
        <v>33</v>
      </c>
      <c r="D34" s="1" t="s">
        <v>28</v>
      </c>
      <c r="E34" s="3">
        <f>COUNTIF(Tabelle4.Runde[[#This Row],[1.Rd]:[4.Rd]],"&gt;399,9")</f>
        <v>1</v>
      </c>
      <c r="F34" s="1">
        <v>0</v>
      </c>
      <c r="G34" s="1">
        <v>4</v>
      </c>
      <c r="H34" s="2">
        <v>396.6</v>
      </c>
      <c r="I34" s="1"/>
      <c r="J34" s="6">
        <v>400.8</v>
      </c>
      <c r="K34" s="2">
        <v>393.6</v>
      </c>
      <c r="L34" s="2">
        <v>396.5</v>
      </c>
      <c r="M34" s="2">
        <v>395.6</v>
      </c>
      <c r="N34" s="2">
        <f>AVERAGE(Tabelle4.Runde[[#This Row],[1.Rd]:[4.Rd]])</f>
        <v>396.625</v>
      </c>
      <c r="O34" s="4"/>
    </row>
    <row r="35" spans="1:15" x14ac:dyDescent="0.25">
      <c r="A35" s="1" t="s">
        <v>106</v>
      </c>
      <c r="B35" s="1" t="s">
        <v>101</v>
      </c>
      <c r="C35" s="1" t="s">
        <v>46</v>
      </c>
      <c r="D35" s="1" t="s">
        <v>22</v>
      </c>
      <c r="E35" s="3">
        <f>COUNTIF(Tabelle4.Runde[[#This Row],[1.Rd]:[4.Rd]],"&gt;399,9")</f>
        <v>0</v>
      </c>
      <c r="F35" s="1">
        <v>0</v>
      </c>
      <c r="G35" s="1">
        <v>4</v>
      </c>
      <c r="H35" s="2">
        <v>388.3</v>
      </c>
      <c r="I35" s="1"/>
      <c r="J35" s="6">
        <v>394.2</v>
      </c>
      <c r="K35" s="2">
        <v>389.4</v>
      </c>
      <c r="L35" s="2">
        <v>388.5</v>
      </c>
      <c r="M35" s="2">
        <v>381</v>
      </c>
      <c r="N35" s="2">
        <f>AVERAGE(Tabelle4.Runde[[#This Row],[1.Rd]:[4.Rd]])</f>
        <v>388.27499999999998</v>
      </c>
      <c r="O35" s="4"/>
    </row>
    <row r="36" spans="1:15" x14ac:dyDescent="0.25">
      <c r="A36" s="1" t="s">
        <v>107</v>
      </c>
      <c r="B36" s="1" t="s">
        <v>103</v>
      </c>
      <c r="C36" s="1" t="s">
        <v>58</v>
      </c>
      <c r="D36" s="1" t="s">
        <v>21</v>
      </c>
      <c r="E36" s="3">
        <f>COUNTIF(Tabelle4.Runde[[#This Row],[1.Rd]:[4.Rd]],"&gt;399,9")</f>
        <v>0</v>
      </c>
      <c r="F36" s="1">
        <v>0</v>
      </c>
      <c r="G36" s="1">
        <v>4</v>
      </c>
      <c r="H36" s="2">
        <v>383</v>
      </c>
      <c r="I36" s="1"/>
      <c r="J36" s="6">
        <v>381.5</v>
      </c>
      <c r="K36" s="2">
        <v>390.3</v>
      </c>
      <c r="L36" s="2">
        <v>377.2</v>
      </c>
      <c r="M36" s="2">
        <v>383.1</v>
      </c>
      <c r="N36" s="2">
        <f>AVERAGE(Tabelle4.Runde[[#This Row],[1.Rd]:[4.Rd]])</f>
        <v>383.02499999999998</v>
      </c>
      <c r="O36" s="4"/>
    </row>
    <row r="37" spans="1:15" x14ac:dyDescent="0.25">
      <c r="A37" s="1" t="s">
        <v>108</v>
      </c>
      <c r="B37" s="1" t="s">
        <v>106</v>
      </c>
      <c r="C37" s="1" t="s">
        <v>68</v>
      </c>
      <c r="D37" s="1" t="s">
        <v>29</v>
      </c>
      <c r="E37" s="3">
        <f>COUNTIF(Tabelle4.Runde[[#This Row],[1.Rd]:[4.Rd]],"&gt;399,9")</f>
        <v>0</v>
      </c>
      <c r="F37" s="1">
        <v>0</v>
      </c>
      <c r="G37" s="1">
        <v>3</v>
      </c>
      <c r="H37" s="2">
        <v>387.5</v>
      </c>
      <c r="I37" s="1"/>
      <c r="J37" s="2"/>
      <c r="K37" s="2">
        <v>391.7</v>
      </c>
      <c r="L37" s="2">
        <v>387.5</v>
      </c>
      <c r="M37" s="2">
        <v>383.3</v>
      </c>
      <c r="N37" s="2">
        <f>AVERAGE(Tabelle4.Runde[[#This Row],[1.Rd]:[4.Rd]])</f>
        <v>387.5</v>
      </c>
      <c r="O37" s="4"/>
    </row>
    <row r="38" spans="1:15" x14ac:dyDescent="0.25">
      <c r="A38" s="1" t="s">
        <v>109</v>
      </c>
      <c r="B38" s="1" t="s">
        <v>107</v>
      </c>
      <c r="C38" s="1" t="s">
        <v>61</v>
      </c>
      <c r="D38" s="1" t="s">
        <v>25</v>
      </c>
      <c r="E38" s="3">
        <f>COUNTIF(Tabelle4.Runde[[#This Row],[1.Rd]:[4.Rd]],"&gt;399,9")</f>
        <v>0</v>
      </c>
      <c r="F38" s="1">
        <v>0</v>
      </c>
      <c r="G38" s="1">
        <v>3</v>
      </c>
      <c r="H38" s="2">
        <v>377.6</v>
      </c>
      <c r="I38" s="1"/>
      <c r="J38" s="2"/>
      <c r="K38" s="2">
        <v>377.1</v>
      </c>
      <c r="L38" s="2">
        <v>373.8</v>
      </c>
      <c r="M38" s="2">
        <v>382</v>
      </c>
      <c r="N38" s="2">
        <f>AVERAGE(Tabelle4.Runde[[#This Row],[1.Rd]:[4.Rd]])</f>
        <v>377.63333333333338</v>
      </c>
      <c r="O38" s="4"/>
    </row>
    <row r="39" spans="1:15" x14ac:dyDescent="0.25">
      <c r="A39" s="1" t="s">
        <v>110</v>
      </c>
      <c r="B39" s="1" t="s">
        <v>105</v>
      </c>
      <c r="C39" s="1" t="s">
        <v>59</v>
      </c>
      <c r="D39" s="1" t="s">
        <v>21</v>
      </c>
      <c r="E39" s="3">
        <f>COUNTIF(Tabelle4.Runde[[#This Row],[1.Rd]:[4.Rd]],"&gt;399,9")</f>
        <v>0</v>
      </c>
      <c r="F39" s="1">
        <v>0</v>
      </c>
      <c r="G39" s="1">
        <v>3</v>
      </c>
      <c r="H39" s="2">
        <v>375.4</v>
      </c>
      <c r="I39" s="1"/>
      <c r="J39" s="6">
        <v>384.3</v>
      </c>
      <c r="K39" s="2">
        <v>370.8</v>
      </c>
      <c r="L39" s="2">
        <v>371.1</v>
      </c>
      <c r="M39" s="2"/>
      <c r="N39" s="2">
        <f>AVERAGE(Tabelle4.Runde[[#This Row],[1.Rd]:[4.Rd]])</f>
        <v>375.40000000000003</v>
      </c>
      <c r="O39" s="4"/>
    </row>
    <row r="40" spans="1:15" x14ac:dyDescent="0.25">
      <c r="A40" s="1" t="s">
        <v>111</v>
      </c>
      <c r="B40" s="1" t="s">
        <v>111</v>
      </c>
      <c r="C40" s="1" t="s">
        <v>45</v>
      </c>
      <c r="D40" s="1" t="s">
        <v>22</v>
      </c>
      <c r="E40" s="3">
        <f>COUNTIF(Tabelle4.Runde[[#This Row],[1.Rd]:[4.Rd]],"&gt;399,9")</f>
        <v>0</v>
      </c>
      <c r="F40" s="1">
        <v>0</v>
      </c>
      <c r="G40" s="1">
        <v>2</v>
      </c>
      <c r="H40" s="6">
        <v>386.1</v>
      </c>
      <c r="I40" s="1"/>
      <c r="J40" s="6">
        <v>385.8</v>
      </c>
      <c r="K40" s="2"/>
      <c r="L40" s="2"/>
      <c r="M40" s="2">
        <v>386.3</v>
      </c>
      <c r="N40" s="2">
        <f>AVERAGE(Tabelle4.Runde[[#This Row],[1.Rd]:[4.Rd]])</f>
        <v>386.05</v>
      </c>
      <c r="O40" s="4"/>
    </row>
    <row r="41" spans="1:15" x14ac:dyDescent="0.25">
      <c r="A41" s="1" t="s">
        <v>112</v>
      </c>
      <c r="B41" s="1" t="s">
        <v>108</v>
      </c>
      <c r="C41" s="1" t="s">
        <v>62</v>
      </c>
      <c r="D41" s="1" t="s">
        <v>21</v>
      </c>
      <c r="E41" s="3">
        <f>COUNTIF(Tabelle4.Runde[[#This Row],[1.Rd]:[4.Rd]],"&gt;399,9")</f>
        <v>0</v>
      </c>
      <c r="F41" s="1">
        <v>0</v>
      </c>
      <c r="G41" s="1">
        <v>2</v>
      </c>
      <c r="H41" s="2">
        <v>374.3</v>
      </c>
      <c r="I41" s="1"/>
      <c r="J41" s="2"/>
      <c r="K41" s="2">
        <v>381.8</v>
      </c>
      <c r="L41" s="2">
        <v>366.8</v>
      </c>
      <c r="M41" s="2"/>
      <c r="N41" s="2">
        <f>AVERAGE(Tabelle4.Runde[[#This Row],[1.Rd]:[4.Rd]])</f>
        <v>374.3</v>
      </c>
      <c r="O41" s="4"/>
    </row>
    <row r="42" spans="1:15" x14ac:dyDescent="0.25">
      <c r="A42" s="1" t="s">
        <v>118</v>
      </c>
      <c r="B42" s="1" t="s">
        <v>110</v>
      </c>
      <c r="C42" s="1" t="s">
        <v>49</v>
      </c>
      <c r="D42" s="1" t="s">
        <v>29</v>
      </c>
      <c r="E42" s="3">
        <f>COUNTIF(Tabelle4.Runde[[#This Row],[1.Rd]:[4.Rd]],"&gt;399,9")</f>
        <v>0</v>
      </c>
      <c r="F42" s="1">
        <v>0</v>
      </c>
      <c r="G42" s="1">
        <v>1</v>
      </c>
      <c r="H42" s="6">
        <v>391.3</v>
      </c>
      <c r="I42" s="1"/>
      <c r="J42" s="6">
        <v>391.3</v>
      </c>
      <c r="K42" s="2"/>
      <c r="L42" s="2"/>
      <c r="M42" s="2"/>
      <c r="N42" s="2">
        <f>AVERAGE(Tabelle4.Runde[[#This Row],[1.Rd]:[4.Rd]])</f>
        <v>391.3</v>
      </c>
      <c r="O42" s="4"/>
    </row>
    <row r="43" spans="1:15" x14ac:dyDescent="0.25">
      <c r="A43" s="1" t="s">
        <v>119</v>
      </c>
      <c r="B43" s="1" t="s">
        <v>126</v>
      </c>
      <c r="C43" s="1" t="s">
        <v>123</v>
      </c>
      <c r="D43" s="1" t="s">
        <v>21</v>
      </c>
      <c r="E43" s="3">
        <f>COUNTIF(Tabelle4.Runde[[#This Row],[1.Rd]:[4.Rd]],"&gt;399,9")</f>
        <v>0</v>
      </c>
      <c r="F43" s="1">
        <v>0</v>
      </c>
      <c r="G43" s="1">
        <v>1</v>
      </c>
      <c r="H43" s="2">
        <v>384.7</v>
      </c>
      <c r="I43" s="1"/>
      <c r="J43" s="2"/>
      <c r="K43" s="2"/>
      <c r="L43" s="2"/>
      <c r="M43" s="2">
        <v>384.7</v>
      </c>
      <c r="N43" s="2">
        <f>AVERAGE(Tabelle4.Runde[[#This Row],[1.Rd]:[4.Rd]])</f>
        <v>384.7</v>
      </c>
      <c r="O43" s="4"/>
    </row>
    <row r="44" spans="1:15" x14ac:dyDescent="0.25">
      <c r="A44" s="1" t="s">
        <v>120</v>
      </c>
      <c r="B44" s="1" t="s">
        <v>118</v>
      </c>
      <c r="C44" s="1" t="s">
        <v>69</v>
      </c>
      <c r="D44" s="1" t="s">
        <v>20</v>
      </c>
      <c r="E44" s="3">
        <f>COUNTIF(Tabelle4.Runde[[#This Row],[1.Rd]:[4.Rd]],"&gt;399,9")</f>
        <v>0</v>
      </c>
      <c r="F44" s="1">
        <v>0</v>
      </c>
      <c r="G44" s="1">
        <v>1</v>
      </c>
      <c r="H44" s="2">
        <v>375.1</v>
      </c>
      <c r="I44" s="1"/>
      <c r="J44" s="2"/>
      <c r="K44" s="2"/>
      <c r="L44" s="2">
        <v>375.1</v>
      </c>
      <c r="M44" s="2"/>
      <c r="N44" s="2">
        <f>AVERAGE(Tabelle4.Runde[[#This Row],[1.Rd]:[4.Rd]])</f>
        <v>375.1</v>
      </c>
    </row>
    <row r="45" spans="1:15" x14ac:dyDescent="0.25">
      <c r="A45" s="1" t="s">
        <v>121</v>
      </c>
      <c r="B45" s="1" t="s">
        <v>119</v>
      </c>
      <c r="C45" s="1" t="s">
        <v>53</v>
      </c>
      <c r="D45" s="1" t="s">
        <v>25</v>
      </c>
      <c r="E45" s="3">
        <f>COUNTIF(Tabelle4.Runde[[#This Row],[1.Rd]:[4.Rd]],"&gt;399,9")</f>
        <v>0</v>
      </c>
      <c r="F45" s="1">
        <v>0</v>
      </c>
      <c r="G45" s="1">
        <v>1</v>
      </c>
      <c r="H45" s="6">
        <v>372.9</v>
      </c>
      <c r="I45" s="1"/>
      <c r="J45" s="6">
        <v>372.9</v>
      </c>
      <c r="K45" s="2"/>
      <c r="L45" s="2"/>
      <c r="M45" s="2"/>
      <c r="N45" s="2">
        <f>AVERAGE(Tabelle4.Runde[[#This Row],[1.Rd]:[4.Rd]])</f>
        <v>372.9</v>
      </c>
    </row>
    <row r="46" spans="1:15" x14ac:dyDescent="0.25">
      <c r="A46" s="1" t="s">
        <v>128</v>
      </c>
      <c r="B46" s="1" t="s">
        <v>120</v>
      </c>
      <c r="C46" s="1" t="s">
        <v>50</v>
      </c>
      <c r="D46" s="1" t="s">
        <v>29</v>
      </c>
      <c r="E46" s="3">
        <f>COUNTIF(Tabelle4.Runde[[#This Row],[1.Rd]:[4.Rd]],"&gt;399,9")</f>
        <v>0</v>
      </c>
      <c r="F46" s="1">
        <v>0</v>
      </c>
      <c r="G46" s="1">
        <v>1</v>
      </c>
      <c r="H46" s="6">
        <v>372.6</v>
      </c>
      <c r="I46" s="1"/>
      <c r="J46" s="6">
        <v>372.6</v>
      </c>
      <c r="K46" s="2"/>
      <c r="L46" s="2"/>
      <c r="M46" s="2"/>
      <c r="N46" s="2">
        <f>AVERAGE(Tabelle4.Runde[[#This Row],[1.Rd]:[4.Rd]])</f>
        <v>372.6</v>
      </c>
    </row>
    <row r="47" spans="1:15" x14ac:dyDescent="0.25">
      <c r="A47" s="1" t="s">
        <v>129</v>
      </c>
      <c r="B47" s="1" t="s">
        <v>121</v>
      </c>
      <c r="C47" s="1" t="s">
        <v>41</v>
      </c>
      <c r="D47" s="1" t="s">
        <v>23</v>
      </c>
      <c r="E47" s="3">
        <f>COUNTIF(Tabelle4.Runde[[#This Row],[1.Rd]:[4.Rd]],"&gt;399,9")</f>
        <v>0</v>
      </c>
      <c r="F47" s="1">
        <v>0</v>
      </c>
      <c r="G47" s="1">
        <v>1</v>
      </c>
      <c r="H47" s="6">
        <v>362.8</v>
      </c>
      <c r="I47" s="1"/>
      <c r="J47" s="6">
        <v>362.8</v>
      </c>
      <c r="K47" s="2"/>
      <c r="L47" s="2"/>
      <c r="M47" s="2"/>
      <c r="N47" s="2">
        <f>AVERAGE(Tabelle4.Runde[[#This Row],[1.Rd]:[4.Rd]])</f>
        <v>362.8</v>
      </c>
    </row>
    <row r="48" spans="1:15" x14ac:dyDescent="0.25">
      <c r="A48" s="1" t="s">
        <v>130</v>
      </c>
      <c r="B48" s="1" t="s">
        <v>126</v>
      </c>
      <c r="C48" s="1" t="s">
        <v>127</v>
      </c>
      <c r="D48" s="1" t="s">
        <v>26</v>
      </c>
      <c r="E48" s="3">
        <f>COUNTIF(Tabelle4.Runde[[#This Row],[1.Rd]:[4.Rd]],"&gt;399,9")</f>
        <v>0</v>
      </c>
      <c r="F48" s="1">
        <v>0</v>
      </c>
      <c r="G48" s="1">
        <v>1</v>
      </c>
      <c r="H48" s="2">
        <v>393.8</v>
      </c>
      <c r="I48" s="1"/>
      <c r="J48" s="6"/>
      <c r="K48" s="2"/>
      <c r="L48" s="2"/>
      <c r="M48" s="2">
        <v>393.8</v>
      </c>
      <c r="N48" s="2">
        <f>AVERAGE(Tabelle4.Runde[[#This Row],[1.Rd]:[4.Rd]])</f>
        <v>393.8</v>
      </c>
    </row>
    <row r="49" spans="1:14" x14ac:dyDescent="0.25">
      <c r="A49" s="1" t="s">
        <v>131</v>
      </c>
      <c r="B49" s="1" t="s">
        <v>126</v>
      </c>
      <c r="C49" s="1" t="s">
        <v>125</v>
      </c>
      <c r="D49" s="1" t="s">
        <v>25</v>
      </c>
      <c r="E49" s="3">
        <f>COUNTIF(Tabelle4.Runde[[#This Row],[1.Rd]:[4.Rd]],"&gt;399,9")</f>
        <v>0</v>
      </c>
      <c r="F49" s="1">
        <v>0</v>
      </c>
      <c r="G49" s="1">
        <v>1</v>
      </c>
      <c r="H49" s="2">
        <v>380.7</v>
      </c>
      <c r="I49" s="1"/>
      <c r="J49" s="2"/>
      <c r="K49" s="2"/>
      <c r="L49" s="2"/>
      <c r="M49" s="2">
        <v>380.7</v>
      </c>
      <c r="N49" s="2">
        <f>AVERAGE(Tabelle4.Runde[[#This Row],[1.Rd]:[4.Rd]])</f>
        <v>380.7</v>
      </c>
    </row>
    <row r="50" spans="1:14" x14ac:dyDescent="0.25">
      <c r="A50" s="1" t="s">
        <v>70</v>
      </c>
      <c r="B50" s="1"/>
      <c r="C50" s="1"/>
      <c r="D50" s="1"/>
      <c r="E50" s="1">
        <f>SUBTOTAL(109,Tabelle4.Runde[400,0])</f>
        <v>25</v>
      </c>
      <c r="F50" s="1"/>
      <c r="G50" s="1"/>
      <c r="H50" s="1"/>
      <c r="I50" s="1"/>
      <c r="J50" s="8">
        <f>SUBTOTAL(103,Tabelle4.Runde[1.Rd])</f>
        <v>30</v>
      </c>
      <c r="K50" s="1">
        <f>SUBTOTAL(103,Tabelle4.Runde[2.Rd])</f>
        <v>30</v>
      </c>
      <c r="L50" s="1">
        <f>SUBTOTAL(103,Tabelle4.Runde[3.Rd])</f>
        <v>30</v>
      </c>
      <c r="M50" s="1">
        <f>SUBTOTAL(103,Tabelle4.Runde[4.Rd])</f>
        <v>30</v>
      </c>
      <c r="N50" s="2"/>
    </row>
    <row r="51" spans="1:14" x14ac:dyDescent="0.25">
      <c r="C51" s="1"/>
      <c r="D51" s="1"/>
    </row>
    <row r="52" spans="1:14" x14ac:dyDescent="0.25">
      <c r="C52" s="1"/>
      <c r="D52" s="1"/>
    </row>
    <row r="53" spans="1:14" x14ac:dyDescent="0.25">
      <c r="C53" s="1"/>
      <c r="D53" s="1"/>
    </row>
    <row r="54" spans="1:14" x14ac:dyDescent="0.25">
      <c r="C54" s="1"/>
      <c r="D54" s="1"/>
    </row>
    <row r="55" spans="1:14" x14ac:dyDescent="0.25">
      <c r="C55" s="1"/>
      <c r="D55" s="1"/>
    </row>
    <row r="56" spans="1:14" x14ac:dyDescent="0.25">
      <c r="C56" s="1"/>
      <c r="D56" s="1"/>
    </row>
    <row r="57" spans="1:14" x14ac:dyDescent="0.25">
      <c r="C57" s="1"/>
      <c r="D57" s="1"/>
    </row>
    <row r="58" spans="1:14" x14ac:dyDescent="0.25">
      <c r="C58" s="1"/>
      <c r="D58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6:D49" xr:uid="{1D6E6342-F7C6-4E22-B861-2343DFEB81AE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CE6B-85DF-4959-89FF-CEF9BE17BDFE}">
  <dimension ref="A1:P58"/>
  <sheetViews>
    <sheetView zoomScale="75" zoomScaleNormal="75" workbookViewId="0">
      <selection activeCell="E5" sqref="E5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7" width="11.7109375" customWidth="1"/>
    <col min="8" max="8" width="13" bestFit="1" customWidth="1"/>
    <col min="9" max="9" width="2.5703125" customWidth="1"/>
    <col min="10" max="12" width="10.85546875" bestFit="1" customWidth="1"/>
    <col min="13" max="14" width="10.85546875" customWidth="1"/>
  </cols>
  <sheetData>
    <row r="1" spans="1:16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6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16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4" spans="1:16" x14ac:dyDescent="0.25">
      <c r="A4" t="s">
        <v>3</v>
      </c>
      <c r="B4" t="s">
        <v>4</v>
      </c>
      <c r="C4" s="1" t="s">
        <v>5</v>
      </c>
      <c r="D4" s="1" t="s">
        <v>6</v>
      </c>
      <c r="E4" s="2" t="s">
        <v>74</v>
      </c>
      <c r="F4" s="1" t="s">
        <v>7</v>
      </c>
      <c r="G4" s="1" t="s">
        <v>8</v>
      </c>
      <c r="H4" s="1" t="s">
        <v>9</v>
      </c>
      <c r="I4" s="1" t="s">
        <v>113</v>
      </c>
      <c r="J4" s="1" t="s">
        <v>114</v>
      </c>
      <c r="K4" s="1" t="s">
        <v>115</v>
      </c>
      <c r="L4" s="1" t="s">
        <v>117</v>
      </c>
      <c r="M4" s="1" t="s">
        <v>122</v>
      </c>
      <c r="N4" s="1" t="s">
        <v>133</v>
      </c>
      <c r="O4" s="1" t="s">
        <v>116</v>
      </c>
    </row>
    <row r="5" spans="1:16" x14ac:dyDescent="0.25">
      <c r="A5" s="9" t="s">
        <v>77</v>
      </c>
      <c r="B5" s="1" t="s">
        <v>77</v>
      </c>
      <c r="C5" s="1" t="s">
        <v>51</v>
      </c>
      <c r="D5" s="1" t="s">
        <v>25</v>
      </c>
      <c r="E5" s="3">
        <f>COUNTIF(Tabelle5.Runde6[[#This Row],[1.Rd]:[5.Rd]],"&gt;399,9")</f>
        <v>5</v>
      </c>
      <c r="F5" s="1">
        <v>5</v>
      </c>
      <c r="G5" s="1">
        <v>5</v>
      </c>
      <c r="H5" s="2">
        <v>407.1</v>
      </c>
      <c r="I5" s="1"/>
      <c r="J5" s="6">
        <v>409.9</v>
      </c>
      <c r="K5" s="2">
        <v>409.1</v>
      </c>
      <c r="L5" s="2">
        <v>404.4</v>
      </c>
      <c r="M5" s="2">
        <v>406</v>
      </c>
      <c r="N5" s="2">
        <v>406.2</v>
      </c>
      <c r="O5" s="2">
        <f>AVERAGE(Tabelle5.Runde6[[#This Row],[1.Rd]:[5.Rd]])</f>
        <v>407.12</v>
      </c>
      <c r="P5" s="4"/>
    </row>
    <row r="6" spans="1:16" x14ac:dyDescent="0.25">
      <c r="A6" s="1" t="s">
        <v>78</v>
      </c>
      <c r="B6" s="1" t="s">
        <v>78</v>
      </c>
      <c r="C6" s="1" t="s">
        <v>38</v>
      </c>
      <c r="D6" s="1" t="s">
        <v>26</v>
      </c>
      <c r="E6" s="3">
        <f>COUNTIF(Tabelle5.Runde6[[#This Row],[1.Rd]:[5.Rd]],"&gt;399,9")</f>
        <v>0</v>
      </c>
      <c r="F6" s="1">
        <v>4</v>
      </c>
      <c r="G6" s="1">
        <v>5</v>
      </c>
      <c r="H6" s="2">
        <v>390.4</v>
      </c>
      <c r="I6" s="1"/>
      <c r="J6" s="6">
        <v>384.1</v>
      </c>
      <c r="K6" s="2">
        <v>388.9</v>
      </c>
      <c r="L6" s="2">
        <v>392.2</v>
      </c>
      <c r="M6" s="2">
        <v>388.3</v>
      </c>
      <c r="N6" s="2">
        <v>398.4</v>
      </c>
      <c r="O6" s="2">
        <f>AVERAGE(Tabelle5.Runde6[[#This Row],[1.Rd]:[5.Rd]])</f>
        <v>390.38</v>
      </c>
      <c r="P6" s="4"/>
    </row>
    <row r="7" spans="1:16" x14ac:dyDescent="0.25">
      <c r="A7" s="9" t="s">
        <v>79</v>
      </c>
      <c r="B7" s="1" t="s">
        <v>79</v>
      </c>
      <c r="C7" s="1" t="s">
        <v>55</v>
      </c>
      <c r="D7" s="1" t="s">
        <v>20</v>
      </c>
      <c r="E7" s="3">
        <f>COUNTIF(Tabelle5.Runde6[[#This Row],[1.Rd]:[5.Rd]],"&gt;399,9")</f>
        <v>4</v>
      </c>
      <c r="F7" s="1">
        <v>4</v>
      </c>
      <c r="G7" s="1">
        <v>4</v>
      </c>
      <c r="H7" s="2">
        <v>404.5</v>
      </c>
      <c r="I7" s="1"/>
      <c r="J7" s="6">
        <v>406.4</v>
      </c>
      <c r="K7" s="2">
        <v>401.5</v>
      </c>
      <c r="L7" s="2"/>
      <c r="M7" s="2">
        <v>407.7</v>
      </c>
      <c r="N7" s="2">
        <v>402.3</v>
      </c>
      <c r="O7" s="2">
        <f>AVERAGE(Tabelle5.Runde6[[#This Row],[1.Rd]:[5.Rd]])</f>
        <v>404.47499999999997</v>
      </c>
      <c r="P7" s="4"/>
    </row>
    <row r="8" spans="1:16" x14ac:dyDescent="0.25">
      <c r="A8" s="1" t="s">
        <v>80</v>
      </c>
      <c r="B8" s="1" t="s">
        <v>83</v>
      </c>
      <c r="C8" s="1" t="s">
        <v>54</v>
      </c>
      <c r="D8" s="1" t="s">
        <v>20</v>
      </c>
      <c r="E8" s="3">
        <f>COUNTIF(Tabelle5.Runde6[[#This Row],[1.Rd]:[5.Rd]],"&gt;399,9")</f>
        <v>3</v>
      </c>
      <c r="F8" s="1">
        <v>3</v>
      </c>
      <c r="G8" s="1">
        <v>5</v>
      </c>
      <c r="H8" s="2">
        <v>399.6</v>
      </c>
      <c r="I8" s="1"/>
      <c r="J8" s="6">
        <v>395.1</v>
      </c>
      <c r="K8" s="2">
        <v>388</v>
      </c>
      <c r="L8" s="2">
        <v>400.9</v>
      </c>
      <c r="M8" s="2">
        <v>408.9</v>
      </c>
      <c r="N8" s="2">
        <v>405.1</v>
      </c>
      <c r="O8" s="2">
        <f>AVERAGE(Tabelle5.Runde6[[#This Row],[1.Rd]:[5.Rd]])</f>
        <v>399.6</v>
      </c>
      <c r="P8" s="4"/>
    </row>
    <row r="9" spans="1:16" x14ac:dyDescent="0.25">
      <c r="A9" s="9" t="s">
        <v>81</v>
      </c>
      <c r="B9" s="1" t="s">
        <v>84</v>
      </c>
      <c r="C9" s="1" t="s">
        <v>37</v>
      </c>
      <c r="D9" s="1" t="s">
        <v>26</v>
      </c>
      <c r="E9" s="3">
        <f>COUNTIF(Tabelle5.Runde6[[#This Row],[1.Rd]:[5.Rd]],"&gt;399,9")</f>
        <v>0</v>
      </c>
      <c r="F9" s="1">
        <v>3</v>
      </c>
      <c r="G9" s="1">
        <v>5</v>
      </c>
      <c r="H9" s="2">
        <v>397.1</v>
      </c>
      <c r="I9" s="1"/>
      <c r="J9" s="6">
        <v>397</v>
      </c>
      <c r="K9" s="2">
        <v>397.9</v>
      </c>
      <c r="L9" s="2">
        <v>396.9</v>
      </c>
      <c r="M9" s="2">
        <v>397.5</v>
      </c>
      <c r="N9" s="2">
        <v>396.2</v>
      </c>
      <c r="O9" s="2">
        <f>AVERAGE(Tabelle5.Runde6[[#This Row],[1.Rd]:[5.Rd]])</f>
        <v>397.1</v>
      </c>
      <c r="P9" s="4"/>
    </row>
    <row r="10" spans="1:16" x14ac:dyDescent="0.25">
      <c r="A10" s="1" t="s">
        <v>82</v>
      </c>
      <c r="B10" s="1" t="s">
        <v>86</v>
      </c>
      <c r="C10" s="1" t="s">
        <v>30</v>
      </c>
      <c r="D10" s="1" t="s">
        <v>24</v>
      </c>
      <c r="E10" s="3">
        <f>COUNTIF(Tabelle5.Runde6[[#This Row],[1.Rd]:[5.Rd]],"&gt;399,9")</f>
        <v>4</v>
      </c>
      <c r="F10" s="1">
        <v>3</v>
      </c>
      <c r="G10" s="1">
        <v>5</v>
      </c>
      <c r="H10" s="2">
        <v>384.8</v>
      </c>
      <c r="I10" s="1"/>
      <c r="J10" s="6">
        <v>305.2</v>
      </c>
      <c r="K10" s="2">
        <v>402.8</v>
      </c>
      <c r="L10" s="2">
        <v>408.9</v>
      </c>
      <c r="M10" s="2">
        <v>400.4</v>
      </c>
      <c r="N10" s="2">
        <v>406.6</v>
      </c>
      <c r="O10" s="2">
        <f>AVERAGE(Tabelle5.Runde6[[#This Row],[1.Rd]:[5.Rd]])</f>
        <v>384.78000000000003</v>
      </c>
      <c r="P10" s="4"/>
    </row>
    <row r="11" spans="1:16" x14ac:dyDescent="0.25">
      <c r="A11" s="9" t="s">
        <v>83</v>
      </c>
      <c r="B11" s="1" t="s">
        <v>82</v>
      </c>
      <c r="C11" s="1" t="s">
        <v>36</v>
      </c>
      <c r="D11" s="1" t="s">
        <v>26</v>
      </c>
      <c r="E11" s="3">
        <f>COUNTIF(Tabelle5.Runde6[[#This Row],[1.Rd]:[5.Rd]],"&gt;399,9")</f>
        <v>2</v>
      </c>
      <c r="F11" s="1">
        <v>3</v>
      </c>
      <c r="G11" s="1">
        <v>4</v>
      </c>
      <c r="H11" s="2">
        <v>401.5</v>
      </c>
      <c r="I11" s="1"/>
      <c r="J11" s="6">
        <v>405.8</v>
      </c>
      <c r="K11" s="2">
        <v>398.9</v>
      </c>
      <c r="L11" s="2">
        <v>398.2</v>
      </c>
      <c r="M11" s="2"/>
      <c r="N11" s="2">
        <v>403.1</v>
      </c>
      <c r="O11" s="2">
        <f>AVERAGE(Tabelle5.Runde6[[#This Row],[1.Rd]:[5.Rd]])</f>
        <v>401.5</v>
      </c>
      <c r="P11" s="4"/>
    </row>
    <row r="12" spans="1:16" x14ac:dyDescent="0.25">
      <c r="A12" s="1" t="s">
        <v>84</v>
      </c>
      <c r="B12" s="1" t="s">
        <v>80</v>
      </c>
      <c r="C12" s="1" t="s">
        <v>66</v>
      </c>
      <c r="D12" s="1" t="s">
        <v>23</v>
      </c>
      <c r="E12" s="3">
        <f>COUNTIF(Tabelle5.Runde6[[#This Row],[1.Rd]:[5.Rd]],"&gt;399,9")</f>
        <v>3</v>
      </c>
      <c r="F12" s="1">
        <v>3</v>
      </c>
      <c r="G12" s="1">
        <v>3</v>
      </c>
      <c r="H12" s="2">
        <v>404.3</v>
      </c>
      <c r="I12" s="1"/>
      <c r="J12" s="2"/>
      <c r="K12" s="2">
        <v>407.2</v>
      </c>
      <c r="L12" s="2">
        <v>403.6</v>
      </c>
      <c r="M12" s="2">
        <v>402.1</v>
      </c>
      <c r="N12" s="2"/>
      <c r="O12" s="2">
        <f>AVERAGE(Tabelle5.Runde6[[#This Row],[1.Rd]:[5.Rd]])</f>
        <v>404.3</v>
      </c>
      <c r="P12" s="4"/>
    </row>
    <row r="13" spans="1:16" x14ac:dyDescent="0.25">
      <c r="A13" s="9" t="s">
        <v>85</v>
      </c>
      <c r="B13" s="1" t="s">
        <v>81</v>
      </c>
      <c r="C13" s="1" t="s">
        <v>65</v>
      </c>
      <c r="D13" s="1" t="s">
        <v>27</v>
      </c>
      <c r="E13" s="3">
        <f>COUNTIF(Tabelle5.Runde6[[#This Row],[1.Rd]:[5.Rd]],"&gt;399,9")</f>
        <v>0</v>
      </c>
      <c r="F13" s="1">
        <v>3</v>
      </c>
      <c r="G13" s="1">
        <v>3</v>
      </c>
      <c r="H13" s="2">
        <v>395.1</v>
      </c>
      <c r="I13" s="1"/>
      <c r="J13" s="2"/>
      <c r="K13" s="2">
        <v>392</v>
      </c>
      <c r="L13" s="2">
        <v>398.7</v>
      </c>
      <c r="M13" s="2">
        <v>394.5</v>
      </c>
      <c r="N13" s="2"/>
      <c r="O13" s="2">
        <f>AVERAGE(Tabelle5.Runde6[[#This Row],[1.Rd]:[5.Rd]])</f>
        <v>395.06666666666666</v>
      </c>
      <c r="P13" s="4"/>
    </row>
    <row r="14" spans="1:16" x14ac:dyDescent="0.25">
      <c r="A14" s="1" t="s">
        <v>86</v>
      </c>
      <c r="B14" s="1" t="s">
        <v>91</v>
      </c>
      <c r="C14" s="1" t="s">
        <v>48</v>
      </c>
      <c r="D14" s="1" t="s">
        <v>29</v>
      </c>
      <c r="E14" s="3">
        <f>COUNTIF(Tabelle5.Runde6[[#This Row],[1.Rd]:[5.Rd]],"&gt;399,9")</f>
        <v>0</v>
      </c>
      <c r="F14" s="1">
        <v>2</v>
      </c>
      <c r="G14" s="1">
        <v>5</v>
      </c>
      <c r="H14" s="6">
        <v>398.5</v>
      </c>
      <c r="I14" s="1"/>
      <c r="J14" s="6">
        <v>397.2</v>
      </c>
      <c r="K14" s="2">
        <v>398.6</v>
      </c>
      <c r="L14" s="2">
        <v>399.6</v>
      </c>
      <c r="M14" s="2">
        <v>398.2</v>
      </c>
      <c r="N14" s="2">
        <v>398.8</v>
      </c>
      <c r="O14" s="2">
        <f>AVERAGE(Tabelle5.Runde6[[#This Row],[1.Rd]:[5.Rd]])</f>
        <v>398.48</v>
      </c>
      <c r="P14" s="4"/>
    </row>
    <row r="15" spans="1:16" x14ac:dyDescent="0.25">
      <c r="A15" s="9" t="s">
        <v>87</v>
      </c>
      <c r="B15" s="1" t="s">
        <v>92</v>
      </c>
      <c r="C15" s="1" t="s">
        <v>42</v>
      </c>
      <c r="D15" s="1" t="s">
        <v>27</v>
      </c>
      <c r="E15" s="3">
        <f>COUNTIF(Tabelle5.Runde6[[#This Row],[1.Rd]:[5.Rd]],"&gt;399,9")</f>
        <v>0</v>
      </c>
      <c r="F15" s="1">
        <v>2</v>
      </c>
      <c r="G15" s="1">
        <v>5</v>
      </c>
      <c r="H15" s="2">
        <v>394.9</v>
      </c>
      <c r="I15" s="1"/>
      <c r="J15" s="6">
        <v>397.6</v>
      </c>
      <c r="K15" s="2">
        <v>396.9</v>
      </c>
      <c r="L15" s="2">
        <v>395</v>
      </c>
      <c r="M15" s="2">
        <v>391.9</v>
      </c>
      <c r="N15" s="2">
        <v>393.2</v>
      </c>
      <c r="O15" s="2">
        <f>AVERAGE(Tabelle5.Runde6[[#This Row],[1.Rd]:[5.Rd]])</f>
        <v>394.92</v>
      </c>
      <c r="P15" s="4"/>
    </row>
    <row r="16" spans="1:16" x14ac:dyDescent="0.25">
      <c r="A16" s="1" t="s">
        <v>88</v>
      </c>
      <c r="B16" s="1" t="s">
        <v>94</v>
      </c>
      <c r="C16" s="1" t="s">
        <v>39</v>
      </c>
      <c r="D16" s="1" t="s">
        <v>23</v>
      </c>
      <c r="E16" s="3">
        <f>COUNTIF(Tabelle5.Runde6[[#This Row],[1.Rd]:[5.Rd]],"&gt;399,9")</f>
        <v>0</v>
      </c>
      <c r="F16" s="1">
        <v>2</v>
      </c>
      <c r="G16" s="1">
        <v>5</v>
      </c>
      <c r="H16" s="6">
        <v>392</v>
      </c>
      <c r="I16" s="1"/>
      <c r="J16" s="6">
        <v>397.2</v>
      </c>
      <c r="K16" s="2">
        <v>398.7</v>
      </c>
      <c r="L16" s="2">
        <v>393.8</v>
      </c>
      <c r="M16" s="2">
        <v>377.4</v>
      </c>
      <c r="N16" s="2">
        <v>392.9</v>
      </c>
      <c r="O16" s="2">
        <f>AVERAGE(Tabelle5.Runde6[[#This Row],[1.Rd]:[5.Rd]])</f>
        <v>392</v>
      </c>
      <c r="P16" s="4"/>
    </row>
    <row r="17" spans="1:16" x14ac:dyDescent="0.25">
      <c r="A17" s="9" t="s">
        <v>89</v>
      </c>
      <c r="B17" s="1" t="s">
        <v>85</v>
      </c>
      <c r="C17" s="1" t="s">
        <v>40</v>
      </c>
      <c r="D17" s="1" t="s">
        <v>23</v>
      </c>
      <c r="E17" s="3">
        <f>COUNTIF(Tabelle5.Runde6[[#This Row],[1.Rd]:[5.Rd]],"&gt;399,9")</f>
        <v>0</v>
      </c>
      <c r="F17" s="1">
        <v>2</v>
      </c>
      <c r="G17" s="1">
        <v>5</v>
      </c>
      <c r="H17" s="6">
        <v>391.6</v>
      </c>
      <c r="I17" s="1"/>
      <c r="J17" s="6">
        <v>391.5</v>
      </c>
      <c r="K17" s="2">
        <v>394.9</v>
      </c>
      <c r="L17" s="2">
        <v>396.8</v>
      </c>
      <c r="M17" s="2">
        <v>386.1</v>
      </c>
      <c r="N17" s="2">
        <v>388.5</v>
      </c>
      <c r="O17" s="2">
        <f>AVERAGE(Tabelle5.Runde6[[#This Row],[1.Rd]:[5.Rd]])</f>
        <v>391.56000000000006</v>
      </c>
      <c r="P17" s="4"/>
    </row>
    <row r="18" spans="1:16" x14ac:dyDescent="0.25">
      <c r="A18" s="1" t="s">
        <v>90</v>
      </c>
      <c r="B18" s="1" t="s">
        <v>95</v>
      </c>
      <c r="C18" s="1" t="s">
        <v>35</v>
      </c>
      <c r="D18" s="1" t="s">
        <v>28</v>
      </c>
      <c r="E18" s="3">
        <f>COUNTIF(Tabelle5.Runde6[[#This Row],[1.Rd]:[5.Rd]],"&gt;399,9")</f>
        <v>0</v>
      </c>
      <c r="F18" s="1">
        <v>2</v>
      </c>
      <c r="G18" s="1">
        <v>5</v>
      </c>
      <c r="H18" s="2">
        <v>387.2</v>
      </c>
      <c r="I18" s="1"/>
      <c r="J18" s="6">
        <v>389.5</v>
      </c>
      <c r="K18" s="2">
        <v>383.9</v>
      </c>
      <c r="L18" s="2">
        <v>382.7</v>
      </c>
      <c r="M18" s="2">
        <v>389.3</v>
      </c>
      <c r="N18" s="2">
        <v>390.5</v>
      </c>
      <c r="O18" s="2">
        <f>AVERAGE(Tabelle5.Runde6[[#This Row],[1.Rd]:[5.Rd]])</f>
        <v>387.17999999999995</v>
      </c>
      <c r="P18" s="4"/>
    </row>
    <row r="19" spans="1:16" x14ac:dyDescent="0.25">
      <c r="A19" s="9" t="s">
        <v>91</v>
      </c>
      <c r="B19" s="1" t="s">
        <v>87</v>
      </c>
      <c r="C19" s="1" t="s">
        <v>44</v>
      </c>
      <c r="D19" s="1" t="s">
        <v>27</v>
      </c>
      <c r="E19" s="3">
        <f>COUNTIF(Tabelle5.Runde6[[#This Row],[1.Rd]:[5.Rd]],"&gt;399,9")</f>
        <v>1</v>
      </c>
      <c r="F19" s="1">
        <v>2</v>
      </c>
      <c r="G19" s="1">
        <v>4</v>
      </c>
      <c r="H19" s="2">
        <v>397.7</v>
      </c>
      <c r="I19" s="1"/>
      <c r="J19" s="6">
        <v>401.1</v>
      </c>
      <c r="K19" s="2">
        <v>395.7</v>
      </c>
      <c r="L19" s="2">
        <v>399.5</v>
      </c>
      <c r="M19" s="2"/>
      <c r="N19" s="2">
        <v>394.5</v>
      </c>
      <c r="O19" s="2">
        <f>AVERAGE(Tabelle5.Runde6[[#This Row],[1.Rd]:[5.Rd]])</f>
        <v>397.7</v>
      </c>
      <c r="P19" s="4"/>
    </row>
    <row r="20" spans="1:16" x14ac:dyDescent="0.25">
      <c r="A20" s="1" t="s">
        <v>92</v>
      </c>
      <c r="B20" s="1" t="s">
        <v>88</v>
      </c>
      <c r="C20" s="1" t="s">
        <v>75</v>
      </c>
      <c r="D20" s="1" t="s">
        <v>25</v>
      </c>
      <c r="E20" s="3">
        <f>COUNTIF(Tabelle5.Runde6[[#This Row],[1.Rd]:[5.Rd]],"&gt;399,9")</f>
        <v>1</v>
      </c>
      <c r="F20" s="1">
        <v>2</v>
      </c>
      <c r="G20" s="1">
        <v>4</v>
      </c>
      <c r="H20" s="2">
        <v>394.6</v>
      </c>
      <c r="I20" s="1"/>
      <c r="J20" s="6">
        <v>401.2</v>
      </c>
      <c r="K20" s="2">
        <v>388.5</v>
      </c>
      <c r="L20" s="2">
        <v>394.5</v>
      </c>
      <c r="M20" s="2"/>
      <c r="N20" s="2">
        <v>394.2</v>
      </c>
      <c r="O20" s="2">
        <f>AVERAGE(Tabelle5.Runde6[[#This Row],[1.Rd]:[5.Rd]])</f>
        <v>394.6</v>
      </c>
      <c r="P20" s="4"/>
    </row>
    <row r="21" spans="1:16" x14ac:dyDescent="0.25">
      <c r="A21" s="9" t="s">
        <v>93</v>
      </c>
      <c r="B21" s="1" t="s">
        <v>99</v>
      </c>
      <c r="C21" s="1" t="s">
        <v>76</v>
      </c>
      <c r="D21" s="1" t="s">
        <v>21</v>
      </c>
      <c r="E21" s="3">
        <f>COUNTIF(Tabelle5.Runde6[[#This Row],[1.Rd]:[5.Rd]],"&gt;399,9")</f>
        <v>2</v>
      </c>
      <c r="F21" s="1">
        <v>2</v>
      </c>
      <c r="G21" s="1">
        <v>3</v>
      </c>
      <c r="H21" s="6">
        <v>400.4</v>
      </c>
      <c r="I21" s="1"/>
      <c r="J21" s="6">
        <v>395.1</v>
      </c>
      <c r="K21" s="2"/>
      <c r="L21" s="2"/>
      <c r="M21" s="2">
        <v>401.9</v>
      </c>
      <c r="N21" s="2">
        <v>404.1</v>
      </c>
      <c r="O21" s="2">
        <f>AVERAGE(Tabelle5.Runde6[[#This Row],[1.Rd]:[5.Rd]])</f>
        <v>400.36666666666662</v>
      </c>
      <c r="P21" s="4"/>
    </row>
    <row r="22" spans="1:16" x14ac:dyDescent="0.25">
      <c r="A22" s="1" t="s">
        <v>94</v>
      </c>
      <c r="B22" s="1" t="s">
        <v>102</v>
      </c>
      <c r="C22" s="1" t="s">
        <v>31</v>
      </c>
      <c r="D22" s="1" t="s">
        <v>24</v>
      </c>
      <c r="E22" s="3">
        <f>COUNTIF(Tabelle5.Runde6[[#This Row],[1.Rd]:[5.Rd]],"&gt;399,9")</f>
        <v>0</v>
      </c>
      <c r="F22" s="1">
        <v>2</v>
      </c>
      <c r="G22" s="1">
        <v>3</v>
      </c>
      <c r="H22" s="6">
        <v>387</v>
      </c>
      <c r="I22" s="1"/>
      <c r="J22" s="6">
        <v>380.4</v>
      </c>
      <c r="K22" s="2"/>
      <c r="L22" s="2"/>
      <c r="M22" s="2">
        <v>389.9</v>
      </c>
      <c r="N22" s="2">
        <v>390.8</v>
      </c>
      <c r="O22" s="2">
        <f>AVERAGE(Tabelle5.Runde6[[#This Row],[1.Rd]:[5.Rd]])</f>
        <v>387.0333333333333</v>
      </c>
      <c r="P22" s="4"/>
    </row>
    <row r="23" spans="1:16" x14ac:dyDescent="0.25">
      <c r="A23" s="9" t="s">
        <v>95</v>
      </c>
      <c r="B23" s="1" t="s">
        <v>89</v>
      </c>
      <c r="C23" s="1" t="s">
        <v>63</v>
      </c>
      <c r="D23" s="1" t="s">
        <v>24</v>
      </c>
      <c r="E23" s="3">
        <f>COUNTIF(Tabelle5.Runde6[[#This Row],[1.Rd]:[5.Rd]],"&gt;399,9")</f>
        <v>2</v>
      </c>
      <c r="F23" s="1">
        <v>2</v>
      </c>
      <c r="G23" s="1">
        <v>2</v>
      </c>
      <c r="H23" s="2">
        <v>416.9</v>
      </c>
      <c r="I23" s="1"/>
      <c r="J23" s="2"/>
      <c r="K23" s="2">
        <v>416.9</v>
      </c>
      <c r="L23" s="2">
        <v>416.9</v>
      </c>
      <c r="M23" s="2"/>
      <c r="N23" s="2"/>
      <c r="O23" s="2">
        <f>AVERAGE(Tabelle5.Runde6[[#This Row],[1.Rd]:[5.Rd]])</f>
        <v>416.9</v>
      </c>
      <c r="P23" s="4"/>
    </row>
    <row r="24" spans="1:16" x14ac:dyDescent="0.25">
      <c r="A24" s="1" t="s">
        <v>96</v>
      </c>
      <c r="B24" s="1" t="s">
        <v>90</v>
      </c>
      <c r="C24" s="1" t="s">
        <v>34</v>
      </c>
      <c r="D24" s="1" t="s">
        <v>28</v>
      </c>
      <c r="E24" s="3">
        <f>COUNTIF(Tabelle5.Runde6[[#This Row],[1.Rd]:[5.Rd]],"&gt;399,9")</f>
        <v>0</v>
      </c>
      <c r="F24" s="1">
        <v>1</v>
      </c>
      <c r="G24" s="1">
        <v>5</v>
      </c>
      <c r="H24" s="2">
        <v>391.7</v>
      </c>
      <c r="I24" s="1"/>
      <c r="J24" s="6">
        <v>390.5</v>
      </c>
      <c r="K24" s="2">
        <v>387.3</v>
      </c>
      <c r="L24" s="2">
        <v>388.8</v>
      </c>
      <c r="M24" s="2">
        <v>392.2</v>
      </c>
      <c r="N24" s="2">
        <v>399.8</v>
      </c>
      <c r="O24" s="2">
        <f>AVERAGE(Tabelle5.Runde6[[#This Row],[1.Rd]:[5.Rd]])</f>
        <v>391.71999999999997</v>
      </c>
      <c r="P24" s="4"/>
    </row>
    <row r="25" spans="1:16" x14ac:dyDescent="0.25">
      <c r="A25" s="9" t="s">
        <v>97</v>
      </c>
      <c r="B25" s="1" t="s">
        <v>96</v>
      </c>
      <c r="C25" s="1" t="s">
        <v>47</v>
      </c>
      <c r="D25" s="1" t="s">
        <v>22</v>
      </c>
      <c r="E25" s="3">
        <f>COUNTIF(Tabelle5.Runde6[[#This Row],[1.Rd]:[5.Rd]],"&gt;399,9")</f>
        <v>0</v>
      </c>
      <c r="F25" s="1">
        <v>1</v>
      </c>
      <c r="G25" s="1">
        <v>5</v>
      </c>
      <c r="H25" s="2">
        <v>381.5</v>
      </c>
      <c r="I25" s="1"/>
      <c r="J25" s="6">
        <v>375.7</v>
      </c>
      <c r="K25" s="2">
        <v>377.4</v>
      </c>
      <c r="L25" s="2">
        <v>392.6</v>
      </c>
      <c r="M25" s="2">
        <v>385.5</v>
      </c>
      <c r="N25" s="2">
        <v>376.1</v>
      </c>
      <c r="O25" s="2">
        <f>AVERAGE(Tabelle5.Runde6[[#This Row],[1.Rd]:[5.Rd]])</f>
        <v>381.45999999999992</v>
      </c>
      <c r="P25" s="4"/>
    </row>
    <row r="26" spans="1:16" x14ac:dyDescent="0.25">
      <c r="A26" s="1" t="s">
        <v>98</v>
      </c>
      <c r="B26" s="1" t="s">
        <v>97</v>
      </c>
      <c r="C26" s="1" t="s">
        <v>67</v>
      </c>
      <c r="D26" s="1" t="s">
        <v>29</v>
      </c>
      <c r="E26" s="3">
        <f>COUNTIF(Tabelle5.Runde6[[#This Row],[1.Rd]:[5.Rd]],"&gt;399,9")</f>
        <v>2</v>
      </c>
      <c r="F26" s="1">
        <v>1</v>
      </c>
      <c r="G26" s="1">
        <v>4</v>
      </c>
      <c r="H26" s="2">
        <v>401.4</v>
      </c>
      <c r="I26" s="1"/>
      <c r="J26" s="2"/>
      <c r="K26" s="2">
        <v>405.3</v>
      </c>
      <c r="L26" s="2">
        <v>405.3</v>
      </c>
      <c r="M26" s="2">
        <v>397.8</v>
      </c>
      <c r="N26" s="2">
        <v>397</v>
      </c>
      <c r="O26" s="2">
        <f>AVERAGE(Tabelle5.Runde6[[#This Row],[1.Rd]:[5.Rd]])</f>
        <v>401.35</v>
      </c>
      <c r="P26" s="4"/>
    </row>
    <row r="27" spans="1:16" x14ac:dyDescent="0.25">
      <c r="A27" s="9" t="s">
        <v>99</v>
      </c>
      <c r="B27" s="1" t="s">
        <v>93</v>
      </c>
      <c r="C27" s="1" t="s">
        <v>56</v>
      </c>
      <c r="D27" s="1" t="s">
        <v>20</v>
      </c>
      <c r="E27" s="3">
        <f>COUNTIF(Tabelle5.Runde6[[#This Row],[1.Rd]:[5.Rd]],"&gt;399,9")</f>
        <v>0</v>
      </c>
      <c r="F27" s="1">
        <v>1</v>
      </c>
      <c r="G27" s="1">
        <v>4</v>
      </c>
      <c r="H27" s="2">
        <v>393.2</v>
      </c>
      <c r="I27" s="1"/>
      <c r="J27" s="6">
        <v>392.3</v>
      </c>
      <c r="K27" s="2">
        <v>398.8</v>
      </c>
      <c r="L27" s="2">
        <v>390</v>
      </c>
      <c r="M27" s="2">
        <v>391.8</v>
      </c>
      <c r="N27" s="2"/>
      <c r="O27" s="2">
        <f>AVERAGE(Tabelle5.Runde6[[#This Row],[1.Rd]:[5.Rd]])</f>
        <v>393.22499999999997</v>
      </c>
      <c r="P27" s="4"/>
    </row>
    <row r="28" spans="1:16" x14ac:dyDescent="0.25">
      <c r="A28" s="1" t="s">
        <v>100</v>
      </c>
      <c r="B28" s="1" t="s">
        <v>108</v>
      </c>
      <c r="C28" s="1" t="s">
        <v>68</v>
      </c>
      <c r="D28" s="1" t="s">
        <v>29</v>
      </c>
      <c r="E28" s="3">
        <f>COUNTIF(Tabelle5.Runde6[[#This Row],[1.Rd]:[5.Rd]],"&gt;399,9")</f>
        <v>0</v>
      </c>
      <c r="F28" s="1">
        <v>1</v>
      </c>
      <c r="G28" s="1">
        <v>4</v>
      </c>
      <c r="H28" s="2">
        <v>388.6</v>
      </c>
      <c r="I28" s="1"/>
      <c r="J28" s="2"/>
      <c r="K28" s="2">
        <v>391.7</v>
      </c>
      <c r="L28" s="2">
        <v>387.5</v>
      </c>
      <c r="M28" s="2">
        <v>383.3</v>
      </c>
      <c r="N28" s="2">
        <v>391.8</v>
      </c>
      <c r="O28" s="2">
        <f>AVERAGE(Tabelle5.Runde6[[#This Row],[1.Rd]:[5.Rd]])</f>
        <v>388.57499999999999</v>
      </c>
      <c r="P28" s="4"/>
    </row>
    <row r="29" spans="1:16" x14ac:dyDescent="0.25">
      <c r="A29" s="9" t="s">
        <v>101</v>
      </c>
      <c r="B29" s="1" t="s">
        <v>98</v>
      </c>
      <c r="C29" s="1" t="s">
        <v>43</v>
      </c>
      <c r="D29" s="1" t="s">
        <v>27</v>
      </c>
      <c r="E29" s="3">
        <f>COUNTIF(Tabelle5.Runde6[[#This Row],[1.Rd]:[5.Rd]],"&gt;399,9")</f>
        <v>1</v>
      </c>
      <c r="F29" s="1">
        <v>1</v>
      </c>
      <c r="G29" s="1">
        <v>3</v>
      </c>
      <c r="H29" s="6">
        <v>398.1</v>
      </c>
      <c r="I29" s="1"/>
      <c r="J29" s="6">
        <v>408.2</v>
      </c>
      <c r="K29" s="2"/>
      <c r="L29" s="2"/>
      <c r="M29" s="2">
        <v>396</v>
      </c>
      <c r="N29" s="2">
        <v>390.1</v>
      </c>
      <c r="O29" s="2">
        <f>AVERAGE(Tabelle5.Runde6[[#This Row],[1.Rd]:[5.Rd]])</f>
        <v>398.10000000000008</v>
      </c>
      <c r="P29" s="4"/>
    </row>
    <row r="30" spans="1:16" x14ac:dyDescent="0.25">
      <c r="A30" s="1" t="s">
        <v>102</v>
      </c>
      <c r="B30" s="1" t="s">
        <v>100</v>
      </c>
      <c r="C30" s="1" t="s">
        <v>60</v>
      </c>
      <c r="D30" s="1" t="s">
        <v>22</v>
      </c>
      <c r="E30" s="3">
        <f>COUNTIF(Tabelle5.Runde6[[#This Row],[1.Rd]:[5.Rd]],"&gt;399,9")</f>
        <v>0</v>
      </c>
      <c r="F30" s="1">
        <v>1</v>
      </c>
      <c r="G30" s="1">
        <v>3</v>
      </c>
      <c r="H30" s="2">
        <v>384.2</v>
      </c>
      <c r="I30" s="1"/>
      <c r="J30" s="2"/>
      <c r="K30" s="2">
        <v>378.9</v>
      </c>
      <c r="L30" s="2">
        <v>392.8</v>
      </c>
      <c r="M30" s="2"/>
      <c r="N30" s="2">
        <v>380.8</v>
      </c>
      <c r="O30" s="2">
        <f>AVERAGE(Tabelle5.Runde6[[#This Row],[1.Rd]:[5.Rd]])</f>
        <v>384.16666666666669</v>
      </c>
      <c r="P30" s="4"/>
    </row>
    <row r="31" spans="1:16" x14ac:dyDescent="0.25">
      <c r="A31" s="9" t="s">
        <v>103</v>
      </c>
      <c r="B31" s="1" t="s">
        <v>101</v>
      </c>
      <c r="C31" s="1" t="s">
        <v>64</v>
      </c>
      <c r="D31" s="1" t="s">
        <v>24</v>
      </c>
      <c r="E31" s="3">
        <f>COUNTIF(Tabelle5.Runde6[[#This Row],[1.Rd]:[5.Rd]],"&gt;399,9")</f>
        <v>0</v>
      </c>
      <c r="F31" s="1">
        <v>1</v>
      </c>
      <c r="G31" s="1">
        <v>3</v>
      </c>
      <c r="H31" s="2">
        <v>382</v>
      </c>
      <c r="I31" s="1"/>
      <c r="J31" s="2"/>
      <c r="K31" s="2">
        <v>382</v>
      </c>
      <c r="L31" s="2">
        <v>389.4</v>
      </c>
      <c r="M31" s="2"/>
      <c r="N31" s="2">
        <v>374.7</v>
      </c>
      <c r="O31" s="2">
        <f>AVERAGE(Tabelle5.Runde6[[#This Row],[1.Rd]:[5.Rd]])</f>
        <v>382.0333333333333</v>
      </c>
      <c r="P31" s="4"/>
    </row>
    <row r="32" spans="1:16" x14ac:dyDescent="0.25">
      <c r="A32" s="1" t="s">
        <v>104</v>
      </c>
      <c r="B32" s="1" t="s">
        <v>103</v>
      </c>
      <c r="C32" s="1" t="s">
        <v>32</v>
      </c>
      <c r="D32" s="1" t="s">
        <v>24</v>
      </c>
      <c r="E32" s="3">
        <f>COUNTIF(Tabelle5.Runde6[[#This Row],[1.Rd]:[5.Rd]],"&gt;399,9")</f>
        <v>0</v>
      </c>
      <c r="F32" s="1">
        <v>1</v>
      </c>
      <c r="G32" s="1">
        <v>1</v>
      </c>
      <c r="H32" s="6">
        <v>398.8</v>
      </c>
      <c r="I32" s="1"/>
      <c r="J32" s="6">
        <v>398.8</v>
      </c>
      <c r="K32" s="2"/>
      <c r="L32" s="2"/>
      <c r="M32" s="2"/>
      <c r="N32" s="2"/>
      <c r="O32" s="2">
        <f>AVERAGE(Tabelle5.Runde6[[#This Row],[1.Rd]:[5.Rd]])</f>
        <v>398.8</v>
      </c>
      <c r="P32" s="4"/>
    </row>
    <row r="33" spans="1:16" x14ac:dyDescent="0.25">
      <c r="A33" s="9" t="s">
        <v>105</v>
      </c>
      <c r="B33" s="1" t="s">
        <v>104</v>
      </c>
      <c r="C33" s="1" t="s">
        <v>124</v>
      </c>
      <c r="D33" s="1" t="s">
        <v>24</v>
      </c>
      <c r="E33" s="3">
        <f>COUNTIF(Tabelle5.Runde6[[#This Row],[1.Rd]:[5.Rd]],"&gt;399,9")</f>
        <v>0</v>
      </c>
      <c r="F33" s="1">
        <v>1</v>
      </c>
      <c r="G33" s="1">
        <v>1</v>
      </c>
      <c r="H33" s="2">
        <v>383.9</v>
      </c>
      <c r="I33" s="1"/>
      <c r="J33" s="2"/>
      <c r="K33" s="2"/>
      <c r="L33" s="2"/>
      <c r="M33" s="2">
        <v>383.9</v>
      </c>
      <c r="N33" s="2"/>
      <c r="O33" s="2">
        <f>AVERAGE(Tabelle5.Runde6[[#This Row],[1.Rd]:[5.Rd]])</f>
        <v>383.9</v>
      </c>
      <c r="P33" s="4"/>
    </row>
    <row r="34" spans="1:16" x14ac:dyDescent="0.25">
      <c r="A34" s="1" t="s">
        <v>106</v>
      </c>
      <c r="B34" s="1" t="s">
        <v>105</v>
      </c>
      <c r="C34" s="1" t="s">
        <v>33</v>
      </c>
      <c r="D34" s="1" t="s">
        <v>28</v>
      </c>
      <c r="E34" s="3">
        <f>COUNTIF(Tabelle5.Runde6[[#This Row],[1.Rd]:[5.Rd]],"&gt;399,9")</f>
        <v>1</v>
      </c>
      <c r="F34" s="1">
        <v>0</v>
      </c>
      <c r="G34" s="1">
        <v>5</v>
      </c>
      <c r="H34" s="2">
        <v>393.6</v>
      </c>
      <c r="I34" s="1"/>
      <c r="J34" s="6">
        <v>400.8</v>
      </c>
      <c r="K34" s="2">
        <v>393.6</v>
      </c>
      <c r="L34" s="2">
        <v>396.5</v>
      </c>
      <c r="M34" s="2">
        <v>395.6</v>
      </c>
      <c r="N34" s="2">
        <v>381.5</v>
      </c>
      <c r="O34" s="2">
        <f>AVERAGE(Tabelle5.Runde6[[#This Row],[1.Rd]:[5.Rd]])</f>
        <v>393.6</v>
      </c>
      <c r="P34" s="4"/>
    </row>
    <row r="35" spans="1:16" x14ac:dyDescent="0.25">
      <c r="A35" s="9" t="s">
        <v>107</v>
      </c>
      <c r="B35" s="1" t="s">
        <v>107</v>
      </c>
      <c r="C35" s="1" t="s">
        <v>58</v>
      </c>
      <c r="D35" s="1" t="s">
        <v>21</v>
      </c>
      <c r="E35" s="3">
        <f>COUNTIF(Tabelle5.Runde6[[#This Row],[1.Rd]:[5.Rd]],"&gt;399,9")</f>
        <v>0</v>
      </c>
      <c r="F35" s="1">
        <v>0</v>
      </c>
      <c r="G35" s="1">
        <v>5</v>
      </c>
      <c r="H35" s="2">
        <v>383.9</v>
      </c>
      <c r="I35" s="1"/>
      <c r="J35" s="6">
        <v>381.5</v>
      </c>
      <c r="K35" s="2">
        <v>390.3</v>
      </c>
      <c r="L35" s="2">
        <v>377.2</v>
      </c>
      <c r="M35" s="2">
        <v>383.1</v>
      </c>
      <c r="N35" s="2">
        <v>387.5</v>
      </c>
      <c r="O35" s="2">
        <f>AVERAGE(Tabelle5.Runde6[[#This Row],[1.Rd]:[5.Rd]])</f>
        <v>383.91999999999996</v>
      </c>
      <c r="P35" s="4"/>
    </row>
    <row r="36" spans="1:16" x14ac:dyDescent="0.25">
      <c r="A36" s="1" t="s">
        <v>108</v>
      </c>
      <c r="B36" s="1" t="s">
        <v>106</v>
      </c>
      <c r="C36" s="1" t="s">
        <v>46</v>
      </c>
      <c r="D36" s="1" t="s">
        <v>22</v>
      </c>
      <c r="E36" s="3">
        <f>COUNTIF(Tabelle5.Runde6[[#This Row],[1.Rd]:[5.Rd]],"&gt;399,9")</f>
        <v>0</v>
      </c>
      <c r="F36" s="1">
        <v>0</v>
      </c>
      <c r="G36" s="1">
        <v>4</v>
      </c>
      <c r="H36" s="2">
        <v>388.3</v>
      </c>
      <c r="I36" s="1"/>
      <c r="J36" s="6">
        <v>394.2</v>
      </c>
      <c r="K36" s="2">
        <v>389.4</v>
      </c>
      <c r="L36" s="2">
        <v>388.5</v>
      </c>
      <c r="M36" s="2">
        <v>381</v>
      </c>
      <c r="N36" s="2"/>
      <c r="O36" s="2">
        <f>AVERAGE(Tabelle5.Runde6[[#This Row],[1.Rd]:[5.Rd]])</f>
        <v>388.27499999999998</v>
      </c>
      <c r="P36" s="4"/>
    </row>
    <row r="37" spans="1:16" x14ac:dyDescent="0.25">
      <c r="A37" s="9" t="s">
        <v>109</v>
      </c>
      <c r="B37" s="1" t="s">
        <v>109</v>
      </c>
      <c r="C37" s="1" t="s">
        <v>61</v>
      </c>
      <c r="D37" s="1" t="s">
        <v>25</v>
      </c>
      <c r="E37" s="3">
        <f>COUNTIF(Tabelle5.Runde6[[#This Row],[1.Rd]:[5.Rd]],"&gt;399,9")</f>
        <v>0</v>
      </c>
      <c r="F37" s="1">
        <v>0</v>
      </c>
      <c r="G37" s="1">
        <v>4</v>
      </c>
      <c r="H37" s="2">
        <v>378.3</v>
      </c>
      <c r="I37" s="1"/>
      <c r="J37" s="2"/>
      <c r="K37" s="2">
        <v>377.1</v>
      </c>
      <c r="L37" s="2">
        <v>373.8</v>
      </c>
      <c r="M37" s="2">
        <v>382</v>
      </c>
      <c r="N37" s="2">
        <v>380.1</v>
      </c>
      <c r="O37" s="2">
        <f>AVERAGE(Tabelle5.Runde6[[#This Row],[1.Rd]:[5.Rd]])</f>
        <v>378.25</v>
      </c>
      <c r="P37" s="4"/>
    </row>
    <row r="38" spans="1:16" x14ac:dyDescent="0.25">
      <c r="A38" s="1" t="s">
        <v>110</v>
      </c>
      <c r="B38" s="1" t="s">
        <v>111</v>
      </c>
      <c r="C38" s="1" t="s">
        <v>45</v>
      </c>
      <c r="D38" s="1" t="s">
        <v>22</v>
      </c>
      <c r="E38" s="3">
        <f>COUNTIF(Tabelle5.Runde6[[#This Row],[1.Rd]:[5.Rd]],"&gt;399,9")</f>
        <v>0</v>
      </c>
      <c r="F38" s="1">
        <v>0</v>
      </c>
      <c r="G38" s="1">
        <v>3</v>
      </c>
      <c r="H38" s="6">
        <v>387.7</v>
      </c>
      <c r="I38" s="1"/>
      <c r="J38" s="6">
        <v>385.8</v>
      </c>
      <c r="K38" s="2"/>
      <c r="L38" s="2"/>
      <c r="M38" s="2">
        <v>386.3</v>
      </c>
      <c r="N38" s="2">
        <v>391.1</v>
      </c>
      <c r="O38" s="2">
        <f>AVERAGE(Tabelle5.Runde6[[#This Row],[1.Rd]:[5.Rd]])</f>
        <v>387.73333333333335</v>
      </c>
      <c r="P38" s="4"/>
    </row>
    <row r="39" spans="1:16" x14ac:dyDescent="0.25">
      <c r="A39" s="9" t="s">
        <v>111</v>
      </c>
      <c r="B39" s="1" t="s">
        <v>110</v>
      </c>
      <c r="C39" s="1" t="s">
        <v>59</v>
      </c>
      <c r="D39" s="1" t="s">
        <v>21</v>
      </c>
      <c r="E39" s="3">
        <f>COUNTIF(Tabelle5.Runde6[[#This Row],[1.Rd]:[5.Rd]],"&gt;399,9")</f>
        <v>0</v>
      </c>
      <c r="F39" s="1">
        <v>0</v>
      </c>
      <c r="G39" s="1">
        <v>3</v>
      </c>
      <c r="H39" s="2">
        <v>375.4</v>
      </c>
      <c r="I39" s="1"/>
      <c r="J39" s="6">
        <v>384.3</v>
      </c>
      <c r="K39" s="2">
        <v>370.8</v>
      </c>
      <c r="L39" s="2">
        <v>371.1</v>
      </c>
      <c r="M39" s="2"/>
      <c r="N39" s="2"/>
      <c r="O39" s="2">
        <f>AVERAGE(Tabelle5.Runde6[[#This Row],[1.Rd]:[5.Rd]])</f>
        <v>375.40000000000003</v>
      </c>
      <c r="P39" s="4"/>
    </row>
    <row r="40" spans="1:16" x14ac:dyDescent="0.25">
      <c r="A40" s="1" t="s">
        <v>112</v>
      </c>
      <c r="B40" s="1" t="s">
        <v>112</v>
      </c>
      <c r="C40" s="1" t="s">
        <v>62</v>
      </c>
      <c r="D40" s="1" t="s">
        <v>21</v>
      </c>
      <c r="E40" s="3">
        <f>COUNTIF(Tabelle5.Runde6[[#This Row],[1.Rd]:[5.Rd]],"&gt;399,9")</f>
        <v>0</v>
      </c>
      <c r="F40" s="1">
        <v>0</v>
      </c>
      <c r="G40" s="1">
        <v>3</v>
      </c>
      <c r="H40" s="2">
        <v>370.6</v>
      </c>
      <c r="I40" s="1"/>
      <c r="J40" s="2"/>
      <c r="K40" s="2">
        <v>381.8</v>
      </c>
      <c r="L40" s="2">
        <v>366.8</v>
      </c>
      <c r="M40" s="2"/>
      <c r="N40" s="2">
        <v>363.2</v>
      </c>
      <c r="O40" s="2">
        <f>AVERAGE(Tabelle5.Runde6[[#This Row],[1.Rd]:[5.Rd]])</f>
        <v>370.59999999999997</v>
      </c>
      <c r="P40" s="4"/>
    </row>
    <row r="41" spans="1:16" x14ac:dyDescent="0.25">
      <c r="A41" s="9" t="s">
        <v>118</v>
      </c>
      <c r="B41" s="1" t="s">
        <v>120</v>
      </c>
      <c r="C41" s="1" t="s">
        <v>69</v>
      </c>
      <c r="D41" s="1" t="s">
        <v>20</v>
      </c>
      <c r="E41" s="3">
        <f>COUNTIF(Tabelle5.Runde6[[#This Row],[1.Rd]:[5.Rd]],"&gt;399,9")</f>
        <v>0</v>
      </c>
      <c r="F41" s="1">
        <v>0</v>
      </c>
      <c r="G41" s="1">
        <v>2</v>
      </c>
      <c r="H41" s="2">
        <v>344</v>
      </c>
      <c r="I41" s="1"/>
      <c r="J41" s="2"/>
      <c r="K41" s="2"/>
      <c r="L41" s="2">
        <v>375.1</v>
      </c>
      <c r="M41" s="2"/>
      <c r="N41" s="2">
        <v>379.1</v>
      </c>
      <c r="O41" s="2">
        <f>AVERAGE(Tabelle5.Runde6[[#This Row],[1.Rd]:[5.Rd]])</f>
        <v>377.1</v>
      </c>
      <c r="P41" s="4"/>
    </row>
    <row r="42" spans="1:16" x14ac:dyDescent="0.25">
      <c r="A42" s="1" t="s">
        <v>119</v>
      </c>
      <c r="B42" s="1" t="s">
        <v>130</v>
      </c>
      <c r="C42" s="1" t="s">
        <v>127</v>
      </c>
      <c r="D42" s="1" t="s">
        <v>26</v>
      </c>
      <c r="E42" s="3">
        <f>COUNTIF(Tabelle5.Runde6[[#This Row],[1.Rd]:[5.Rd]],"&gt;399,9")</f>
        <v>0</v>
      </c>
      <c r="F42" s="1">
        <v>0</v>
      </c>
      <c r="G42" s="1">
        <v>1</v>
      </c>
      <c r="H42" s="2">
        <v>393.8</v>
      </c>
      <c r="I42" s="1"/>
      <c r="J42" s="6"/>
      <c r="K42" s="2"/>
      <c r="L42" s="2"/>
      <c r="M42" s="2">
        <v>393.8</v>
      </c>
      <c r="N42" s="2"/>
      <c r="O42" s="2">
        <f>AVERAGE(Tabelle5.Runde6[[#This Row],[1.Rd]:[5.Rd]])</f>
        <v>393.8</v>
      </c>
      <c r="P42" s="4"/>
    </row>
    <row r="43" spans="1:16" x14ac:dyDescent="0.25">
      <c r="A43" s="9" t="s">
        <v>120</v>
      </c>
      <c r="B43" s="1" t="s">
        <v>118</v>
      </c>
      <c r="C43" s="1" t="s">
        <v>49</v>
      </c>
      <c r="D43" s="1" t="s">
        <v>29</v>
      </c>
      <c r="E43" s="3">
        <f>COUNTIF(Tabelle5.Runde6[[#This Row],[1.Rd]:[5.Rd]],"&gt;399,9")</f>
        <v>0</v>
      </c>
      <c r="F43" s="1">
        <v>0</v>
      </c>
      <c r="G43" s="1">
        <v>1</v>
      </c>
      <c r="H43" s="6">
        <v>391.3</v>
      </c>
      <c r="I43" s="1"/>
      <c r="J43" s="6">
        <v>391.3</v>
      </c>
      <c r="K43" s="2"/>
      <c r="L43" s="2"/>
      <c r="M43" s="2"/>
      <c r="N43" s="2"/>
      <c r="O43" s="2">
        <f>AVERAGE(Tabelle5.Runde6[[#This Row],[1.Rd]:[5.Rd]])</f>
        <v>391.3</v>
      </c>
    </row>
    <row r="44" spans="1:16" x14ac:dyDescent="0.25">
      <c r="A44" s="1" t="s">
        <v>121</v>
      </c>
      <c r="B44" s="1" t="s">
        <v>119</v>
      </c>
      <c r="C44" s="1" t="s">
        <v>123</v>
      </c>
      <c r="D44" s="1" t="s">
        <v>21</v>
      </c>
      <c r="E44" s="3">
        <f>COUNTIF(Tabelle5.Runde6[[#This Row],[1.Rd]:[5.Rd]],"&gt;399,9")</f>
        <v>0</v>
      </c>
      <c r="F44" s="1">
        <v>0</v>
      </c>
      <c r="G44" s="1">
        <v>1</v>
      </c>
      <c r="H44" s="2">
        <v>384.7</v>
      </c>
      <c r="I44" s="1"/>
      <c r="J44" s="2"/>
      <c r="K44" s="2"/>
      <c r="L44" s="2"/>
      <c r="M44" s="2">
        <v>384.7</v>
      </c>
      <c r="N44" s="2"/>
      <c r="O44" s="2">
        <f>AVERAGE(Tabelle5.Runde6[[#This Row],[1.Rd]:[5.Rd]])</f>
        <v>384.7</v>
      </c>
    </row>
    <row r="45" spans="1:16" x14ac:dyDescent="0.25">
      <c r="A45" s="9" t="s">
        <v>128</v>
      </c>
      <c r="B45" s="1" t="s">
        <v>131</v>
      </c>
      <c r="C45" s="1" t="s">
        <v>125</v>
      </c>
      <c r="D45" s="1" t="s">
        <v>25</v>
      </c>
      <c r="E45" s="3">
        <f>COUNTIF(Tabelle5.Runde6[[#This Row],[1.Rd]:[5.Rd]],"&gt;399,9")</f>
        <v>0</v>
      </c>
      <c r="F45" s="1">
        <v>0</v>
      </c>
      <c r="G45" s="1">
        <v>1</v>
      </c>
      <c r="H45" s="2">
        <v>380.7</v>
      </c>
      <c r="I45" s="1"/>
      <c r="J45" s="2"/>
      <c r="K45" s="2"/>
      <c r="L45" s="2"/>
      <c r="M45" s="2">
        <v>380.7</v>
      </c>
      <c r="N45" s="2"/>
      <c r="O45" s="2">
        <f>AVERAGE(Tabelle5.Runde6[[#This Row],[1.Rd]:[5.Rd]])</f>
        <v>380.7</v>
      </c>
    </row>
    <row r="46" spans="1:16" x14ac:dyDescent="0.25">
      <c r="A46" s="1" t="s">
        <v>129</v>
      </c>
      <c r="B46" s="1" t="s">
        <v>121</v>
      </c>
      <c r="C46" s="1" t="s">
        <v>53</v>
      </c>
      <c r="D46" s="1" t="s">
        <v>25</v>
      </c>
      <c r="E46" s="3">
        <f>COUNTIF(Tabelle5.Runde6[[#This Row],[1.Rd]:[5.Rd]],"&gt;399,9")</f>
        <v>0</v>
      </c>
      <c r="F46" s="1">
        <v>0</v>
      </c>
      <c r="G46" s="1">
        <v>1</v>
      </c>
      <c r="H46" s="6">
        <v>372.9</v>
      </c>
      <c r="I46" s="1"/>
      <c r="J46" s="6">
        <v>372.9</v>
      </c>
      <c r="K46" s="2"/>
      <c r="L46" s="2"/>
      <c r="M46" s="2"/>
      <c r="N46" s="2"/>
      <c r="O46" s="2">
        <f>AVERAGE(Tabelle5.Runde6[[#This Row],[1.Rd]:[5.Rd]])</f>
        <v>372.9</v>
      </c>
    </row>
    <row r="47" spans="1:16" x14ac:dyDescent="0.25">
      <c r="A47" s="9" t="s">
        <v>130</v>
      </c>
      <c r="B47" s="1" t="s">
        <v>128</v>
      </c>
      <c r="C47" s="1" t="s">
        <v>50</v>
      </c>
      <c r="D47" s="1" t="s">
        <v>29</v>
      </c>
      <c r="E47" s="3">
        <f>COUNTIF(Tabelle5.Runde6[[#This Row],[1.Rd]:[5.Rd]],"&gt;399,9")</f>
        <v>0</v>
      </c>
      <c r="F47" s="1">
        <v>0</v>
      </c>
      <c r="G47" s="1">
        <v>1</v>
      </c>
      <c r="H47" s="6">
        <v>372.6</v>
      </c>
      <c r="I47" s="1"/>
      <c r="J47" s="6">
        <v>372.6</v>
      </c>
      <c r="K47" s="2"/>
      <c r="L47" s="2"/>
      <c r="M47" s="2"/>
      <c r="N47" s="2"/>
      <c r="O47" s="2">
        <f>AVERAGE(Tabelle5.Runde6[[#This Row],[1.Rd]:[5.Rd]])</f>
        <v>372.6</v>
      </c>
    </row>
    <row r="48" spans="1:16" x14ac:dyDescent="0.25">
      <c r="A48" s="1" t="s">
        <v>131</v>
      </c>
      <c r="B48" s="1" t="s">
        <v>126</v>
      </c>
      <c r="C48" s="1" t="s">
        <v>132</v>
      </c>
      <c r="D48" s="1" t="s">
        <v>23</v>
      </c>
      <c r="E48" s="3">
        <f>COUNTIF(Tabelle5.Runde6[[#This Row],[1.Rd]:[5.Rd]],"&gt;399,9")</f>
        <v>0</v>
      </c>
      <c r="F48" s="1">
        <v>0</v>
      </c>
      <c r="G48" s="1">
        <v>1</v>
      </c>
      <c r="H48" s="2">
        <v>371.7</v>
      </c>
      <c r="I48" s="1"/>
      <c r="J48" s="6"/>
      <c r="K48" s="2"/>
      <c r="L48" s="2"/>
      <c r="M48" s="2"/>
      <c r="N48" s="2">
        <v>371.7</v>
      </c>
      <c r="O48" s="2">
        <f>AVERAGE(Tabelle5.Runde6[[#This Row],[1.Rd]:[5.Rd]])</f>
        <v>371.7</v>
      </c>
    </row>
    <row r="49" spans="1:15" x14ac:dyDescent="0.25">
      <c r="A49" s="9" t="s">
        <v>134</v>
      </c>
      <c r="B49" s="1" t="s">
        <v>129</v>
      </c>
      <c r="C49" s="1" t="s">
        <v>41</v>
      </c>
      <c r="D49" s="1" t="s">
        <v>23</v>
      </c>
      <c r="E49" s="3">
        <f>COUNTIF(Tabelle5.Runde6[[#This Row],[1.Rd]:[5.Rd]],"&gt;399,9")</f>
        <v>0</v>
      </c>
      <c r="F49" s="1">
        <v>0</v>
      </c>
      <c r="G49" s="1">
        <v>1</v>
      </c>
      <c r="H49" s="6">
        <v>362.8</v>
      </c>
      <c r="I49" s="1"/>
      <c r="J49" s="6">
        <v>362.8</v>
      </c>
      <c r="K49" s="2"/>
      <c r="L49" s="2"/>
      <c r="M49" s="2"/>
      <c r="N49" s="2"/>
      <c r="O49" s="2">
        <f>AVERAGE(Tabelle5.Runde6[[#This Row],[1.Rd]:[5.Rd]])</f>
        <v>362.8</v>
      </c>
    </row>
    <row r="50" spans="1:15" x14ac:dyDescent="0.25">
      <c r="A50" s="1" t="s">
        <v>70</v>
      </c>
      <c r="B50" s="1"/>
      <c r="C50" s="1"/>
      <c r="D50" s="1"/>
      <c r="E50" s="1">
        <f>SUBTOTAL(109,Tabelle5.Runde6[400,0])</f>
        <v>31</v>
      </c>
      <c r="F50" s="1"/>
      <c r="G50" s="1"/>
      <c r="H50" s="1"/>
      <c r="I50" s="1"/>
      <c r="J50" s="8">
        <f>SUBTOTAL(103,Tabelle5.Runde6[1.Rd])</f>
        <v>30</v>
      </c>
      <c r="K50" s="1">
        <f>SUBTOTAL(103,Tabelle5.Runde6[2.Rd])</f>
        <v>30</v>
      </c>
      <c r="L50" s="1">
        <f>SUBTOTAL(103,Tabelle5.Runde6[3.Rd])</f>
        <v>30</v>
      </c>
      <c r="M50" s="1">
        <f>SUBTOTAL(103,Tabelle5.Runde6[4.Rd])</f>
        <v>30</v>
      </c>
      <c r="N50" s="1">
        <f>SUBTOTAL(103,Tabelle5.Runde6[5.Rd])</f>
        <v>30</v>
      </c>
      <c r="O50" s="2"/>
    </row>
    <row r="51" spans="1:15" x14ac:dyDescent="0.25">
      <c r="C51" s="1"/>
      <c r="D51" s="1"/>
    </row>
    <row r="52" spans="1:15" x14ac:dyDescent="0.25">
      <c r="C52" s="1"/>
      <c r="D52" s="1"/>
    </row>
    <row r="53" spans="1:15" x14ac:dyDescent="0.25">
      <c r="C53" s="1"/>
      <c r="D53" s="1"/>
    </row>
    <row r="54" spans="1:15" x14ac:dyDescent="0.25">
      <c r="C54" s="1"/>
      <c r="D54" s="1"/>
    </row>
    <row r="55" spans="1:15" x14ac:dyDescent="0.25">
      <c r="C55" s="1"/>
      <c r="D55" s="1"/>
    </row>
    <row r="56" spans="1:15" x14ac:dyDescent="0.25">
      <c r="C56" s="1"/>
      <c r="D56" s="1"/>
    </row>
    <row r="57" spans="1:15" x14ac:dyDescent="0.25">
      <c r="C57" s="1"/>
      <c r="D57" s="1"/>
    </row>
    <row r="58" spans="1:15" x14ac:dyDescent="0.25">
      <c r="C58" s="1"/>
      <c r="D58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5:D49" xr:uid="{7A247D30-9D9C-434D-BD5A-0773BB325351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A9FB4-72E4-419A-9C53-EA8665921290}">
  <dimension ref="A1:Q59"/>
  <sheetViews>
    <sheetView zoomScale="75" zoomScaleNormal="75" workbookViewId="0">
      <selection activeCell="C23" sqref="C23:G23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6" width="11.7109375" customWidth="1"/>
    <col min="7" max="7" width="11.85546875" customWidth="1"/>
    <col min="8" max="8" width="13" bestFit="1" customWidth="1"/>
    <col min="9" max="9" width="2.5703125" customWidth="1"/>
    <col min="10" max="12" width="10.85546875" bestFit="1" customWidth="1"/>
    <col min="13" max="15" width="10.85546875" customWidth="1"/>
  </cols>
  <sheetData>
    <row r="1" spans="1:17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7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17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4" spans="1:17" x14ac:dyDescent="0.25">
      <c r="A4" t="s">
        <v>3</v>
      </c>
      <c r="B4" t="s">
        <v>4</v>
      </c>
      <c r="C4" s="1" t="s">
        <v>5</v>
      </c>
      <c r="D4" s="1" t="s">
        <v>6</v>
      </c>
      <c r="E4" s="2" t="s">
        <v>74</v>
      </c>
      <c r="F4" s="1" t="s">
        <v>7</v>
      </c>
      <c r="G4" s="1" t="s">
        <v>8</v>
      </c>
      <c r="H4" s="1" t="s">
        <v>9</v>
      </c>
      <c r="I4" s="1" t="s">
        <v>113</v>
      </c>
      <c r="J4" s="1" t="s">
        <v>114</v>
      </c>
      <c r="K4" s="1" t="s">
        <v>115</v>
      </c>
      <c r="L4" s="1" t="s">
        <v>117</v>
      </c>
      <c r="M4" s="1" t="s">
        <v>122</v>
      </c>
      <c r="N4" s="1" t="s">
        <v>133</v>
      </c>
      <c r="O4" s="1" t="s">
        <v>135</v>
      </c>
      <c r="P4" s="1" t="s">
        <v>116</v>
      </c>
    </row>
    <row r="5" spans="1:17" x14ac:dyDescent="0.25">
      <c r="A5" s="9" t="s">
        <v>77</v>
      </c>
      <c r="B5" s="9" t="s">
        <v>77</v>
      </c>
      <c r="C5" s="1" t="s">
        <v>51</v>
      </c>
      <c r="D5" s="1" t="s">
        <v>25</v>
      </c>
      <c r="E5" s="3">
        <f>COUNTIF(Tabelle6.Runde68[[#This Row],[1.Rd]:[6.Rd]],"&gt;399,9")</f>
        <v>6</v>
      </c>
      <c r="F5" s="1">
        <v>6</v>
      </c>
      <c r="G5" s="1">
        <v>6</v>
      </c>
      <c r="H5" s="2">
        <v>407.4</v>
      </c>
      <c r="I5" s="1"/>
      <c r="J5" s="6">
        <v>409.9</v>
      </c>
      <c r="K5" s="2">
        <v>409.1</v>
      </c>
      <c r="L5" s="2">
        <v>404.4</v>
      </c>
      <c r="M5" s="2">
        <v>406</v>
      </c>
      <c r="N5" s="2">
        <v>406.2</v>
      </c>
      <c r="O5" s="2">
        <v>408.5</v>
      </c>
      <c r="P5" s="2">
        <f>AVERAGE(Tabelle6.Runde68[[#This Row],[1.Rd]:[6.Rd]])</f>
        <v>407.35000000000008</v>
      </c>
      <c r="Q5" s="4"/>
    </row>
    <row r="6" spans="1:17" x14ac:dyDescent="0.25">
      <c r="A6" s="9" t="s">
        <v>78</v>
      </c>
      <c r="B6" s="9" t="s">
        <v>81</v>
      </c>
      <c r="C6" s="1" t="s">
        <v>37</v>
      </c>
      <c r="D6" s="1" t="s">
        <v>26</v>
      </c>
      <c r="E6" s="3">
        <f>COUNTIF(Tabelle6.Runde68[[#This Row],[1.Rd]:[6.Rd]],"&gt;399,9")</f>
        <v>0</v>
      </c>
      <c r="F6" s="1">
        <v>4</v>
      </c>
      <c r="G6" s="1">
        <v>6</v>
      </c>
      <c r="H6" s="2">
        <v>397.1</v>
      </c>
      <c r="I6" s="1"/>
      <c r="J6" s="6">
        <v>397</v>
      </c>
      <c r="K6" s="2">
        <v>397.9</v>
      </c>
      <c r="L6" s="2">
        <v>396.9</v>
      </c>
      <c r="M6" s="2">
        <v>397.5</v>
      </c>
      <c r="N6" s="2">
        <v>396.2</v>
      </c>
      <c r="O6" s="2">
        <v>397.3</v>
      </c>
      <c r="P6" s="2">
        <f>AVERAGE(Tabelle6.Runde68[[#This Row],[1.Rd]:[6.Rd]])</f>
        <v>397.13333333333338</v>
      </c>
      <c r="Q6" s="4"/>
    </row>
    <row r="7" spans="1:17" x14ac:dyDescent="0.25">
      <c r="A7" s="9" t="s">
        <v>79</v>
      </c>
      <c r="B7" s="1" t="s">
        <v>78</v>
      </c>
      <c r="C7" s="1" t="s">
        <v>38</v>
      </c>
      <c r="D7" s="1" t="s">
        <v>26</v>
      </c>
      <c r="E7" s="3">
        <f>COUNTIF(Tabelle6.Runde68[[#This Row],[1.Rd]:[6.Rd]],"&gt;399,9")</f>
        <v>0</v>
      </c>
      <c r="F7" s="1">
        <v>4</v>
      </c>
      <c r="G7" s="1">
        <v>6</v>
      </c>
      <c r="H7" s="2">
        <v>391</v>
      </c>
      <c r="I7" s="1"/>
      <c r="J7" s="6">
        <v>384.1</v>
      </c>
      <c r="K7" s="2">
        <v>388.9</v>
      </c>
      <c r="L7" s="2">
        <v>392.2</v>
      </c>
      <c r="M7" s="2">
        <v>388.3</v>
      </c>
      <c r="N7" s="2">
        <v>398.4</v>
      </c>
      <c r="O7" s="2">
        <v>394</v>
      </c>
      <c r="P7" s="2">
        <f>AVERAGE(Tabelle6.Runde68[[#This Row],[1.Rd]:[6.Rd]])</f>
        <v>390.98333333333335</v>
      </c>
      <c r="Q7" s="4"/>
    </row>
    <row r="8" spans="1:17" x14ac:dyDescent="0.25">
      <c r="A8" s="9" t="s">
        <v>80</v>
      </c>
      <c r="B8" s="1" t="s">
        <v>82</v>
      </c>
      <c r="C8" s="1" t="s">
        <v>30</v>
      </c>
      <c r="D8" s="1" t="s">
        <v>24</v>
      </c>
      <c r="E8" s="3">
        <f>COUNTIF(Tabelle6.Runde68[[#This Row],[1.Rd]:[6.Rd]],"&gt;399,9")</f>
        <v>5</v>
      </c>
      <c r="F8" s="1">
        <v>4</v>
      </c>
      <c r="G8" s="1">
        <v>6</v>
      </c>
      <c r="H8" s="2">
        <v>389.3</v>
      </c>
      <c r="I8" s="1"/>
      <c r="J8" s="6">
        <v>305.2</v>
      </c>
      <c r="K8" s="2">
        <v>402.8</v>
      </c>
      <c r="L8" s="2">
        <v>408.9</v>
      </c>
      <c r="M8" s="2">
        <v>400.4</v>
      </c>
      <c r="N8" s="2">
        <v>406.6</v>
      </c>
      <c r="O8" s="2">
        <v>411.7</v>
      </c>
      <c r="P8" s="2">
        <f>AVERAGE(Tabelle6.Runde68[[#This Row],[1.Rd]:[6.Rd]])</f>
        <v>389.26666666666665</v>
      </c>
      <c r="Q8" s="4"/>
    </row>
    <row r="9" spans="1:17" x14ac:dyDescent="0.25">
      <c r="A9" s="9" t="s">
        <v>81</v>
      </c>
      <c r="B9" s="9" t="s">
        <v>79</v>
      </c>
      <c r="C9" s="1" t="s">
        <v>55</v>
      </c>
      <c r="D9" s="1" t="s">
        <v>20</v>
      </c>
      <c r="E9" s="3">
        <f>COUNTIF(Tabelle6.Runde68[[#This Row],[1.Rd]:[6.Rd]],"&gt;399,9")</f>
        <v>5</v>
      </c>
      <c r="F9" s="1">
        <v>4</v>
      </c>
      <c r="G9" s="1">
        <v>5</v>
      </c>
      <c r="H9" s="2">
        <v>404.2</v>
      </c>
      <c r="I9" s="1"/>
      <c r="J9" s="6">
        <v>406.4</v>
      </c>
      <c r="K9" s="2">
        <v>401.5</v>
      </c>
      <c r="L9" s="2"/>
      <c r="M9" s="2">
        <v>407.7</v>
      </c>
      <c r="N9" s="2">
        <v>402.3</v>
      </c>
      <c r="O9" s="2">
        <v>402.9</v>
      </c>
      <c r="P9" s="2">
        <f>AVERAGE(Tabelle6.Runde68[[#This Row],[1.Rd]:[6.Rd]])</f>
        <v>404.15999999999997</v>
      </c>
      <c r="Q9" s="4"/>
    </row>
    <row r="10" spans="1:17" x14ac:dyDescent="0.25">
      <c r="A10" s="9" t="s">
        <v>82</v>
      </c>
      <c r="B10" s="1" t="s">
        <v>86</v>
      </c>
      <c r="C10" s="1" t="s">
        <v>48</v>
      </c>
      <c r="D10" s="1" t="s">
        <v>29</v>
      </c>
      <c r="E10" s="3">
        <f>COUNTIF(Tabelle6.Runde68[[#This Row],[1.Rd]:[6.Rd]],"&gt;399,9")</f>
        <v>1</v>
      </c>
      <c r="F10" s="1">
        <v>3</v>
      </c>
      <c r="G10" s="1">
        <v>6</v>
      </c>
      <c r="H10" s="6">
        <v>399.8</v>
      </c>
      <c r="I10" s="1"/>
      <c r="J10" s="6">
        <v>397.2</v>
      </c>
      <c r="K10" s="2">
        <v>398.6</v>
      </c>
      <c r="L10" s="2">
        <v>399.6</v>
      </c>
      <c r="M10" s="2">
        <v>398.2</v>
      </c>
      <c r="N10" s="2">
        <v>398.8</v>
      </c>
      <c r="O10" s="2">
        <v>406.3</v>
      </c>
      <c r="P10" s="2">
        <f>AVERAGE(Tabelle6.Runde68[[#This Row],[1.Rd]:[6.Rd]])</f>
        <v>399.78333333333336</v>
      </c>
      <c r="Q10" s="4"/>
    </row>
    <row r="11" spans="1:17" x14ac:dyDescent="0.25">
      <c r="A11" s="9" t="s">
        <v>83</v>
      </c>
      <c r="B11" s="9" t="s">
        <v>87</v>
      </c>
      <c r="C11" s="1" t="s">
        <v>42</v>
      </c>
      <c r="D11" s="1" t="s">
        <v>27</v>
      </c>
      <c r="E11" s="3">
        <f>COUNTIF(Tabelle6.Runde68[[#This Row],[1.Rd]:[6.Rd]],"&gt;399,9")</f>
        <v>0</v>
      </c>
      <c r="F11" s="1">
        <v>3</v>
      </c>
      <c r="G11" s="1">
        <v>6</v>
      </c>
      <c r="H11" s="2">
        <v>394.3</v>
      </c>
      <c r="I11" s="1"/>
      <c r="J11" s="6">
        <v>397.6</v>
      </c>
      <c r="K11" s="2">
        <v>396.9</v>
      </c>
      <c r="L11" s="2">
        <v>395</v>
      </c>
      <c r="M11" s="2">
        <v>391.9</v>
      </c>
      <c r="N11" s="2">
        <v>393.2</v>
      </c>
      <c r="O11" s="2">
        <v>391.1</v>
      </c>
      <c r="P11" s="2">
        <f>AVERAGE(Tabelle6.Runde68[[#This Row],[1.Rd]:[6.Rd]])</f>
        <v>394.28333333333336</v>
      </c>
      <c r="Q11" s="4"/>
    </row>
    <row r="12" spans="1:17" x14ac:dyDescent="0.25">
      <c r="A12" s="9" t="s">
        <v>84</v>
      </c>
      <c r="B12" s="1" t="s">
        <v>90</v>
      </c>
      <c r="C12" s="1" t="s">
        <v>35</v>
      </c>
      <c r="D12" s="1" t="s">
        <v>28</v>
      </c>
      <c r="E12" s="3">
        <f>COUNTIF(Tabelle6.Runde68[[#This Row],[1.Rd]:[6.Rd]],"&gt;399,9")</f>
        <v>0</v>
      </c>
      <c r="F12" s="1">
        <v>3</v>
      </c>
      <c r="G12" s="1">
        <v>6</v>
      </c>
      <c r="H12" s="2">
        <v>388.3</v>
      </c>
      <c r="I12" s="1"/>
      <c r="J12" s="6">
        <v>389.5</v>
      </c>
      <c r="K12" s="2">
        <v>383.9</v>
      </c>
      <c r="L12" s="2">
        <v>382.7</v>
      </c>
      <c r="M12" s="2">
        <v>389.3</v>
      </c>
      <c r="N12" s="2">
        <v>390.5</v>
      </c>
      <c r="O12" s="2">
        <v>393.7</v>
      </c>
      <c r="P12" s="2">
        <f>AVERAGE(Tabelle6.Runde68[[#This Row],[1.Rd]:[6.Rd]])</f>
        <v>388.26666666666665</v>
      </c>
      <c r="Q12" s="4"/>
    </row>
    <row r="13" spans="1:17" x14ac:dyDescent="0.25">
      <c r="A13" s="9" t="s">
        <v>85</v>
      </c>
      <c r="B13" s="9" t="s">
        <v>83</v>
      </c>
      <c r="C13" s="1" t="s">
        <v>36</v>
      </c>
      <c r="D13" s="1" t="s">
        <v>26</v>
      </c>
      <c r="E13" s="3">
        <f>COUNTIF(Tabelle6.Runde68[[#This Row],[1.Rd]:[6.Rd]],"&gt;399,9")</f>
        <v>3</v>
      </c>
      <c r="F13" s="1">
        <v>3</v>
      </c>
      <c r="G13" s="1">
        <v>5</v>
      </c>
      <c r="H13" s="2">
        <v>402.7</v>
      </c>
      <c r="I13" s="1"/>
      <c r="J13" s="6">
        <v>405.8</v>
      </c>
      <c r="K13" s="2">
        <v>398.9</v>
      </c>
      <c r="L13" s="2">
        <v>398.2</v>
      </c>
      <c r="M13" s="2"/>
      <c r="N13" s="2">
        <v>403.1</v>
      </c>
      <c r="O13" s="2">
        <v>407.3</v>
      </c>
      <c r="P13" s="2">
        <f>AVERAGE(Tabelle6.Runde68[[#This Row],[1.Rd]:[6.Rd]])</f>
        <v>402.65999999999997</v>
      </c>
      <c r="Q13" s="4"/>
    </row>
    <row r="14" spans="1:17" x14ac:dyDescent="0.25">
      <c r="A14" s="9" t="s">
        <v>86</v>
      </c>
      <c r="B14" s="1" t="s">
        <v>80</v>
      </c>
      <c r="C14" s="1" t="s">
        <v>54</v>
      </c>
      <c r="D14" s="1" t="s">
        <v>20</v>
      </c>
      <c r="E14" s="3">
        <f>COUNTIF(Tabelle6.Runde68[[#This Row],[1.Rd]:[6.Rd]],"&gt;399,9")</f>
        <v>3</v>
      </c>
      <c r="F14" s="1">
        <v>3</v>
      </c>
      <c r="G14" s="1">
        <v>5</v>
      </c>
      <c r="H14" s="2">
        <v>399.6</v>
      </c>
      <c r="I14" s="1"/>
      <c r="J14" s="6">
        <v>395.1</v>
      </c>
      <c r="K14" s="2">
        <v>388</v>
      </c>
      <c r="L14" s="2">
        <v>400.9</v>
      </c>
      <c r="M14" s="2">
        <v>408.9</v>
      </c>
      <c r="N14" s="2">
        <v>405.1</v>
      </c>
      <c r="O14" s="2"/>
      <c r="P14" s="2">
        <f>AVERAGE(Tabelle6.Runde68[[#This Row],[1.Rd]:[6.Rd]])</f>
        <v>399.6</v>
      </c>
      <c r="Q14" s="4"/>
    </row>
    <row r="15" spans="1:17" x14ac:dyDescent="0.25">
      <c r="A15" s="9" t="s">
        <v>87</v>
      </c>
      <c r="B15" s="1" t="s">
        <v>94</v>
      </c>
      <c r="C15" s="1" t="s">
        <v>31</v>
      </c>
      <c r="D15" s="1" t="s">
        <v>24</v>
      </c>
      <c r="E15" s="3">
        <f>COUNTIF(Tabelle6.Runde68[[#This Row],[1.Rd]:[6.Rd]],"&gt;399,9")</f>
        <v>0</v>
      </c>
      <c r="F15" s="1">
        <v>3</v>
      </c>
      <c r="G15" s="1">
        <v>4</v>
      </c>
      <c r="H15" s="6">
        <v>388.5</v>
      </c>
      <c r="I15" s="1"/>
      <c r="J15" s="6">
        <v>380.4</v>
      </c>
      <c r="K15" s="2"/>
      <c r="L15" s="2"/>
      <c r="M15" s="2">
        <v>389.9</v>
      </c>
      <c r="N15" s="2">
        <v>390.8</v>
      </c>
      <c r="O15" s="2">
        <v>392.9</v>
      </c>
      <c r="P15" s="2">
        <f>AVERAGE(Tabelle6.Runde68[[#This Row],[1.Rd]:[6.Rd]])</f>
        <v>388.5</v>
      </c>
      <c r="Q15" s="4"/>
    </row>
    <row r="16" spans="1:17" x14ac:dyDescent="0.25">
      <c r="A16" s="9" t="s">
        <v>88</v>
      </c>
      <c r="B16" s="1" t="s">
        <v>84</v>
      </c>
      <c r="C16" s="1" t="s">
        <v>66</v>
      </c>
      <c r="D16" s="1" t="s">
        <v>23</v>
      </c>
      <c r="E16" s="3">
        <f>COUNTIF(Tabelle6.Runde68[[#This Row],[1.Rd]:[6.Rd]],"&gt;399,9")</f>
        <v>3</v>
      </c>
      <c r="F16" s="1">
        <v>3</v>
      </c>
      <c r="G16" s="1">
        <v>3</v>
      </c>
      <c r="H16" s="2">
        <v>404.3</v>
      </c>
      <c r="I16" s="1"/>
      <c r="J16" s="2"/>
      <c r="K16" s="2">
        <v>407.2</v>
      </c>
      <c r="L16" s="2">
        <v>403.6</v>
      </c>
      <c r="M16" s="2">
        <v>402.1</v>
      </c>
      <c r="N16" s="2"/>
      <c r="O16" s="2"/>
      <c r="P16" s="2">
        <f>AVERAGE(Tabelle6.Runde68[[#This Row],[1.Rd]:[6.Rd]])</f>
        <v>404.3</v>
      </c>
      <c r="Q16" s="4"/>
    </row>
    <row r="17" spans="1:17" x14ac:dyDescent="0.25">
      <c r="A17" s="9" t="s">
        <v>89</v>
      </c>
      <c r="B17" s="9" t="s">
        <v>85</v>
      </c>
      <c r="C17" s="1" t="s">
        <v>65</v>
      </c>
      <c r="D17" s="1" t="s">
        <v>27</v>
      </c>
      <c r="E17" s="3">
        <f>COUNTIF(Tabelle6.Runde68[[#This Row],[1.Rd]:[6.Rd]],"&gt;399,9")</f>
        <v>0</v>
      </c>
      <c r="F17" s="1">
        <v>3</v>
      </c>
      <c r="G17" s="1">
        <v>3</v>
      </c>
      <c r="H17" s="2">
        <v>395.1</v>
      </c>
      <c r="I17" s="1"/>
      <c r="J17" s="2"/>
      <c r="K17" s="2">
        <v>392</v>
      </c>
      <c r="L17" s="2">
        <v>398.7</v>
      </c>
      <c r="M17" s="2">
        <v>394.5</v>
      </c>
      <c r="N17" s="2"/>
      <c r="O17" s="2"/>
      <c r="P17" s="2">
        <f>AVERAGE(Tabelle6.Runde68[[#This Row],[1.Rd]:[6.Rd]])</f>
        <v>395.06666666666666</v>
      </c>
      <c r="Q17" s="4"/>
    </row>
    <row r="18" spans="1:17" x14ac:dyDescent="0.25">
      <c r="A18" s="9" t="s">
        <v>90</v>
      </c>
      <c r="B18" s="1" t="s">
        <v>96</v>
      </c>
      <c r="C18" s="1" t="s">
        <v>34</v>
      </c>
      <c r="D18" s="1" t="s">
        <v>28</v>
      </c>
      <c r="E18" s="3">
        <f>COUNTIF(Tabelle6.Runde68[[#This Row],[1.Rd]:[6.Rd]],"&gt;399,9")</f>
        <v>0</v>
      </c>
      <c r="F18" s="1">
        <v>2</v>
      </c>
      <c r="G18" s="1">
        <v>6</v>
      </c>
      <c r="H18" s="2">
        <v>392.5</v>
      </c>
      <c r="I18" s="1"/>
      <c r="J18" s="6">
        <v>390.5</v>
      </c>
      <c r="K18" s="2">
        <v>387.3</v>
      </c>
      <c r="L18" s="2">
        <v>388.8</v>
      </c>
      <c r="M18" s="2">
        <v>392.2</v>
      </c>
      <c r="N18" s="2">
        <v>399.8</v>
      </c>
      <c r="O18" s="2">
        <v>396.1</v>
      </c>
      <c r="P18" s="2">
        <f>AVERAGE(Tabelle6.Runde68[[#This Row],[1.Rd]:[6.Rd]])</f>
        <v>392.45</v>
      </c>
      <c r="Q18" s="4"/>
    </row>
    <row r="19" spans="1:17" x14ac:dyDescent="0.25">
      <c r="A19" s="9" t="s">
        <v>91</v>
      </c>
      <c r="B19" s="1" t="s">
        <v>88</v>
      </c>
      <c r="C19" s="1" t="s">
        <v>39</v>
      </c>
      <c r="D19" s="1" t="s">
        <v>23</v>
      </c>
      <c r="E19" s="3">
        <f>COUNTIF(Tabelle6.Runde68[[#This Row],[1.Rd]:[6.Rd]],"&gt;399,9")</f>
        <v>0</v>
      </c>
      <c r="F19" s="1">
        <v>2</v>
      </c>
      <c r="G19" s="1">
        <v>6</v>
      </c>
      <c r="H19" s="6">
        <v>392.4</v>
      </c>
      <c r="I19" s="1"/>
      <c r="J19" s="6">
        <v>397.2</v>
      </c>
      <c r="K19" s="2">
        <v>398.7</v>
      </c>
      <c r="L19" s="2">
        <v>393.8</v>
      </c>
      <c r="M19" s="2">
        <v>377.4</v>
      </c>
      <c r="N19" s="2">
        <v>392.9</v>
      </c>
      <c r="O19" s="2">
        <v>394.5</v>
      </c>
      <c r="P19" s="2">
        <f>AVERAGE(Tabelle6.Runde68[[#This Row],[1.Rd]:[6.Rd]])</f>
        <v>392.41666666666669</v>
      </c>
      <c r="Q19" s="4"/>
    </row>
    <row r="20" spans="1:17" x14ac:dyDescent="0.25">
      <c r="A20" s="9" t="s">
        <v>92</v>
      </c>
      <c r="B20" s="9" t="s">
        <v>89</v>
      </c>
      <c r="C20" s="1" t="s">
        <v>40</v>
      </c>
      <c r="D20" s="1" t="s">
        <v>23</v>
      </c>
      <c r="E20" s="3">
        <f>COUNTIF(Tabelle6.Runde68[[#This Row],[1.Rd]:[6.Rd]],"&gt;399,9")</f>
        <v>0</v>
      </c>
      <c r="F20" s="1">
        <v>2</v>
      </c>
      <c r="G20" s="1">
        <v>6</v>
      </c>
      <c r="H20" s="6">
        <v>391.9</v>
      </c>
      <c r="I20" s="1"/>
      <c r="J20" s="6">
        <v>391.5</v>
      </c>
      <c r="K20" s="2">
        <v>394.9</v>
      </c>
      <c r="L20" s="2">
        <v>396.8</v>
      </c>
      <c r="M20" s="2">
        <v>386.1</v>
      </c>
      <c r="N20" s="2">
        <v>388.5</v>
      </c>
      <c r="O20" s="2">
        <v>393.3</v>
      </c>
      <c r="P20" s="2">
        <f>AVERAGE(Tabelle6.Runde68[[#This Row],[1.Rd]:[6.Rd]])</f>
        <v>391.85000000000008</v>
      </c>
      <c r="Q20" s="4"/>
    </row>
    <row r="21" spans="1:17" x14ac:dyDescent="0.25">
      <c r="A21" s="9" t="s">
        <v>93</v>
      </c>
      <c r="B21" s="1" t="s">
        <v>98</v>
      </c>
      <c r="C21" s="1" t="s">
        <v>67</v>
      </c>
      <c r="D21" s="1" t="s">
        <v>29</v>
      </c>
      <c r="E21" s="3">
        <f>COUNTIF(Tabelle6.Runde68[[#This Row],[1.Rd]:[6.Rd]],"&gt;399,9")</f>
        <v>3</v>
      </c>
      <c r="F21" s="1">
        <v>2</v>
      </c>
      <c r="G21" s="1">
        <v>5</v>
      </c>
      <c r="H21" s="2">
        <v>401.8</v>
      </c>
      <c r="I21" s="1"/>
      <c r="J21" s="2"/>
      <c r="K21" s="2">
        <v>405.3</v>
      </c>
      <c r="L21" s="2">
        <v>405.3</v>
      </c>
      <c r="M21" s="2">
        <v>397.8</v>
      </c>
      <c r="N21" s="2">
        <v>397</v>
      </c>
      <c r="O21" s="2">
        <v>403.7</v>
      </c>
      <c r="P21" s="2">
        <f>AVERAGE(Tabelle6.Runde68[[#This Row],[1.Rd]:[6.Rd]])</f>
        <v>401.82000000000005</v>
      </c>
      <c r="Q21" s="4"/>
    </row>
    <row r="22" spans="1:17" x14ac:dyDescent="0.25">
      <c r="A22" s="9" t="s">
        <v>94</v>
      </c>
      <c r="B22" s="9" t="s">
        <v>91</v>
      </c>
      <c r="C22" s="1" t="s">
        <v>44</v>
      </c>
      <c r="D22" s="1" t="s">
        <v>27</v>
      </c>
      <c r="E22" s="3">
        <f>COUNTIF(Tabelle6.Runde68[[#This Row],[1.Rd]:[6.Rd]],"&gt;399,9")</f>
        <v>1</v>
      </c>
      <c r="F22" s="1">
        <v>2</v>
      </c>
      <c r="G22" s="1">
        <v>5</v>
      </c>
      <c r="H22" s="2">
        <v>397.6</v>
      </c>
      <c r="I22" s="1"/>
      <c r="J22" s="6">
        <v>401.1</v>
      </c>
      <c r="K22" s="2">
        <v>395.7</v>
      </c>
      <c r="L22" s="2">
        <v>399.5</v>
      </c>
      <c r="M22" s="2"/>
      <c r="N22" s="2">
        <v>394.5</v>
      </c>
      <c r="O22" s="2">
        <v>397</v>
      </c>
      <c r="P22" s="2">
        <f>AVERAGE(Tabelle6.Runde68[[#This Row],[1.Rd]:[6.Rd]])</f>
        <v>397.56</v>
      </c>
      <c r="Q22" s="4"/>
    </row>
    <row r="23" spans="1:17" x14ac:dyDescent="0.25">
      <c r="A23" s="9" t="s">
        <v>95</v>
      </c>
      <c r="B23" s="1" t="s">
        <v>100</v>
      </c>
      <c r="C23" s="1" t="s">
        <v>68</v>
      </c>
      <c r="D23" s="1" t="s">
        <v>29</v>
      </c>
      <c r="E23" s="3">
        <f>COUNTIF(Tabelle6.Runde68[[#This Row],[1.Rd]:[6.Rd]],"&gt;399,9")</f>
        <v>0</v>
      </c>
      <c r="F23" s="1">
        <v>2</v>
      </c>
      <c r="G23" s="1">
        <v>5</v>
      </c>
      <c r="H23" s="2">
        <v>387.1</v>
      </c>
      <c r="I23" s="1"/>
      <c r="J23" s="2"/>
      <c r="K23" s="2">
        <v>391.7</v>
      </c>
      <c r="L23" s="2">
        <v>387.5</v>
      </c>
      <c r="M23" s="2">
        <v>383.3</v>
      </c>
      <c r="N23" s="2">
        <v>391.8</v>
      </c>
      <c r="O23" s="2">
        <v>381.3</v>
      </c>
      <c r="P23" s="2">
        <f>AVERAGE(Tabelle6.Runde68[[#This Row],[1.Rd]:[6.Rd]])</f>
        <v>387.12</v>
      </c>
      <c r="Q23" s="4"/>
    </row>
    <row r="24" spans="1:17" x14ac:dyDescent="0.25">
      <c r="A24" s="9" t="s">
        <v>96</v>
      </c>
      <c r="B24" s="9" t="s">
        <v>93</v>
      </c>
      <c r="C24" s="1" t="s">
        <v>76</v>
      </c>
      <c r="D24" s="1" t="s">
        <v>21</v>
      </c>
      <c r="E24" s="3">
        <f>COUNTIF(Tabelle6.Runde68[[#This Row],[1.Rd]:[6.Rd]],"&gt;399,9")</f>
        <v>3</v>
      </c>
      <c r="F24" s="1">
        <v>2</v>
      </c>
      <c r="G24" s="1">
        <v>4</v>
      </c>
      <c r="H24" s="6">
        <v>400.3</v>
      </c>
      <c r="I24" s="1"/>
      <c r="J24" s="6">
        <v>395.1</v>
      </c>
      <c r="K24" s="2"/>
      <c r="L24" s="2"/>
      <c r="M24" s="2">
        <v>401.9</v>
      </c>
      <c r="N24" s="2">
        <v>404.1</v>
      </c>
      <c r="O24" s="2">
        <v>400.1</v>
      </c>
      <c r="P24" s="2">
        <f>AVERAGE(Tabelle6.Runde68[[#This Row],[1.Rd]:[6.Rd]])</f>
        <v>400.29999999999995</v>
      </c>
      <c r="Q24" s="4"/>
    </row>
    <row r="25" spans="1:17" x14ac:dyDescent="0.25">
      <c r="A25" s="9" t="s">
        <v>97</v>
      </c>
      <c r="B25" s="9" t="s">
        <v>101</v>
      </c>
      <c r="C25" s="1" t="s">
        <v>43</v>
      </c>
      <c r="D25" s="1" t="s">
        <v>27</v>
      </c>
      <c r="E25" s="3">
        <f>COUNTIF(Tabelle6.Runde68[[#This Row],[1.Rd]:[6.Rd]],"&gt;399,9")</f>
        <v>2</v>
      </c>
      <c r="F25" s="1">
        <v>2</v>
      </c>
      <c r="G25" s="1">
        <v>4</v>
      </c>
      <c r="H25" s="6">
        <v>399</v>
      </c>
      <c r="I25" s="1"/>
      <c r="J25" s="6">
        <v>408.2</v>
      </c>
      <c r="K25" s="2"/>
      <c r="L25" s="2"/>
      <c r="M25" s="2">
        <v>396</v>
      </c>
      <c r="N25" s="2">
        <v>390.1</v>
      </c>
      <c r="O25" s="2">
        <v>401.6</v>
      </c>
      <c r="P25" s="2">
        <f>AVERAGE(Tabelle6.Runde68[[#This Row],[1.Rd]:[6.Rd]])</f>
        <v>398.97500000000002</v>
      </c>
      <c r="Q25" s="4"/>
    </row>
    <row r="26" spans="1:17" x14ac:dyDescent="0.25">
      <c r="A26" s="9" t="s">
        <v>98</v>
      </c>
      <c r="B26" s="1" t="s">
        <v>92</v>
      </c>
      <c r="C26" s="1" t="s">
        <v>75</v>
      </c>
      <c r="D26" s="1" t="s">
        <v>25</v>
      </c>
      <c r="E26" s="3">
        <f>COUNTIF(Tabelle6.Runde68[[#This Row],[1.Rd]:[6.Rd]],"&gt;399,9")</f>
        <v>1</v>
      </c>
      <c r="F26" s="1">
        <v>2</v>
      </c>
      <c r="G26" s="1">
        <v>4</v>
      </c>
      <c r="H26" s="2">
        <v>394.6</v>
      </c>
      <c r="I26" s="1"/>
      <c r="J26" s="6">
        <v>401.2</v>
      </c>
      <c r="K26" s="2">
        <v>388.5</v>
      </c>
      <c r="L26" s="2">
        <v>394.5</v>
      </c>
      <c r="M26" s="2"/>
      <c r="N26" s="2">
        <v>394.2</v>
      </c>
      <c r="O26" s="2"/>
      <c r="P26" s="2">
        <f>AVERAGE(Tabelle6.Runde68[[#This Row],[1.Rd]:[6.Rd]])</f>
        <v>394.6</v>
      </c>
      <c r="Q26" s="4"/>
    </row>
    <row r="27" spans="1:17" x14ac:dyDescent="0.25">
      <c r="A27" s="9" t="s">
        <v>99</v>
      </c>
      <c r="B27" s="9" t="s">
        <v>95</v>
      </c>
      <c r="C27" s="1" t="s">
        <v>63</v>
      </c>
      <c r="D27" s="1" t="s">
        <v>24</v>
      </c>
      <c r="E27" s="3">
        <f>COUNTIF(Tabelle6.Runde68[[#This Row],[1.Rd]:[6.Rd]],"&gt;399,9")</f>
        <v>2</v>
      </c>
      <c r="F27" s="1">
        <v>2</v>
      </c>
      <c r="G27" s="1">
        <v>2</v>
      </c>
      <c r="H27" s="2">
        <v>416.9</v>
      </c>
      <c r="I27" s="1"/>
      <c r="J27" s="2"/>
      <c r="K27" s="2">
        <v>416.9</v>
      </c>
      <c r="L27" s="2">
        <v>416.9</v>
      </c>
      <c r="M27" s="2"/>
      <c r="N27" s="2"/>
      <c r="O27" s="2"/>
      <c r="P27" s="2">
        <f>AVERAGE(Tabelle6.Runde68[[#This Row],[1.Rd]:[6.Rd]])</f>
        <v>416.9</v>
      </c>
      <c r="Q27" s="4"/>
    </row>
    <row r="28" spans="1:17" x14ac:dyDescent="0.25">
      <c r="A28" s="9" t="s">
        <v>100</v>
      </c>
      <c r="B28" s="9" t="s">
        <v>97</v>
      </c>
      <c r="C28" s="1" t="s">
        <v>47</v>
      </c>
      <c r="D28" s="1" t="s">
        <v>22</v>
      </c>
      <c r="E28" s="3">
        <f>COUNTIF(Tabelle6.Runde68[[#This Row],[1.Rd]:[6.Rd]],"&gt;399,9")</f>
        <v>0</v>
      </c>
      <c r="F28" s="1">
        <v>1</v>
      </c>
      <c r="G28" s="1">
        <v>6</v>
      </c>
      <c r="H28" s="2">
        <v>380.7</v>
      </c>
      <c r="I28" s="1"/>
      <c r="J28" s="6">
        <v>375.7</v>
      </c>
      <c r="K28" s="2">
        <v>377.4</v>
      </c>
      <c r="L28" s="2">
        <v>392.6</v>
      </c>
      <c r="M28" s="2">
        <v>385.5</v>
      </c>
      <c r="N28" s="2">
        <v>376.1</v>
      </c>
      <c r="O28" s="2">
        <v>376.7</v>
      </c>
      <c r="P28" s="2">
        <f>AVERAGE(Tabelle6.Runde68[[#This Row],[1.Rd]:[6.Rd]])</f>
        <v>380.66666666666657</v>
      </c>
      <c r="Q28" s="4"/>
    </row>
    <row r="29" spans="1:17" x14ac:dyDescent="0.25">
      <c r="A29" s="9" t="s">
        <v>101</v>
      </c>
      <c r="B29" s="9" t="s">
        <v>99</v>
      </c>
      <c r="C29" s="1" t="s">
        <v>56</v>
      </c>
      <c r="D29" s="1" t="s">
        <v>20</v>
      </c>
      <c r="E29" s="3">
        <f>COUNTIF(Tabelle6.Runde68[[#This Row],[1.Rd]:[6.Rd]],"&gt;399,9")</f>
        <v>0</v>
      </c>
      <c r="F29" s="1">
        <v>1</v>
      </c>
      <c r="G29" s="1">
        <v>5</v>
      </c>
      <c r="H29" s="2">
        <v>390.9</v>
      </c>
      <c r="I29" s="1"/>
      <c r="J29" s="6">
        <v>392.3</v>
      </c>
      <c r="K29" s="2">
        <v>398.8</v>
      </c>
      <c r="L29" s="2">
        <v>390</v>
      </c>
      <c r="M29" s="2">
        <v>391.8</v>
      </c>
      <c r="N29" s="2"/>
      <c r="O29" s="2">
        <v>381.4</v>
      </c>
      <c r="P29" s="2">
        <f>AVERAGE(Tabelle6.Runde68[[#This Row],[1.Rd]:[6.Rd]])</f>
        <v>390.85999999999996</v>
      </c>
      <c r="Q29" s="4"/>
    </row>
    <row r="30" spans="1:17" x14ac:dyDescent="0.25">
      <c r="A30" s="9" t="s">
        <v>102</v>
      </c>
      <c r="B30" s="1" t="s">
        <v>102</v>
      </c>
      <c r="C30" s="1" t="s">
        <v>60</v>
      </c>
      <c r="D30" s="1" t="s">
        <v>22</v>
      </c>
      <c r="E30" s="3">
        <f>COUNTIF(Tabelle6.Runde68[[#This Row],[1.Rd]:[6.Rd]],"&gt;399,9")</f>
        <v>0</v>
      </c>
      <c r="F30" s="1">
        <v>1</v>
      </c>
      <c r="G30" s="1">
        <v>4</v>
      </c>
      <c r="H30" s="2">
        <v>382.3</v>
      </c>
      <c r="I30" s="1"/>
      <c r="J30" s="2"/>
      <c r="K30" s="2">
        <v>378.9</v>
      </c>
      <c r="L30" s="2">
        <v>392.8</v>
      </c>
      <c r="M30" s="2"/>
      <c r="N30" s="2">
        <v>380.8</v>
      </c>
      <c r="O30" s="2">
        <v>376.7</v>
      </c>
      <c r="P30" s="2">
        <f>AVERAGE(Tabelle6.Runde68[[#This Row],[1.Rd]:[6.Rd]])</f>
        <v>382.3</v>
      </c>
      <c r="Q30" s="4"/>
    </row>
    <row r="31" spans="1:17" x14ac:dyDescent="0.25">
      <c r="A31" s="9" t="s">
        <v>103</v>
      </c>
      <c r="B31" s="9" t="s">
        <v>103</v>
      </c>
      <c r="C31" s="1" t="s">
        <v>64</v>
      </c>
      <c r="D31" s="1" t="s">
        <v>24</v>
      </c>
      <c r="E31" s="3">
        <f>COUNTIF(Tabelle6.Runde68[[#This Row],[1.Rd]:[6.Rd]],"&gt;399,9")</f>
        <v>0</v>
      </c>
      <c r="F31" s="1">
        <v>1</v>
      </c>
      <c r="G31" s="1">
        <v>4</v>
      </c>
      <c r="H31" s="2">
        <v>379.1</v>
      </c>
      <c r="I31" s="1"/>
      <c r="J31" s="2"/>
      <c r="K31" s="2">
        <v>382</v>
      </c>
      <c r="L31" s="2">
        <v>389.4</v>
      </c>
      <c r="M31" s="2"/>
      <c r="N31" s="2">
        <v>374.7</v>
      </c>
      <c r="O31" s="2">
        <v>370.3</v>
      </c>
      <c r="P31" s="2">
        <f>AVERAGE(Tabelle6.Runde68[[#This Row],[1.Rd]:[6.Rd]])</f>
        <v>379.09999999999997</v>
      </c>
      <c r="Q31" s="4"/>
    </row>
    <row r="32" spans="1:17" x14ac:dyDescent="0.25">
      <c r="A32" s="9" t="s">
        <v>104</v>
      </c>
      <c r="B32" s="1" t="s">
        <v>104</v>
      </c>
      <c r="C32" s="1" t="s">
        <v>32</v>
      </c>
      <c r="D32" s="1" t="s">
        <v>24</v>
      </c>
      <c r="E32" s="3">
        <f>COUNTIF(Tabelle6.Runde68[[#This Row],[1.Rd]:[6.Rd]],"&gt;399,9")</f>
        <v>0</v>
      </c>
      <c r="F32" s="1">
        <v>1</v>
      </c>
      <c r="G32" s="1">
        <v>1</v>
      </c>
      <c r="H32" s="6">
        <v>398.8</v>
      </c>
      <c r="I32" s="1"/>
      <c r="J32" s="6">
        <v>398.8</v>
      </c>
      <c r="K32" s="2"/>
      <c r="L32" s="2"/>
      <c r="M32" s="2"/>
      <c r="N32" s="2"/>
      <c r="O32" s="2"/>
      <c r="P32" s="2">
        <f>AVERAGE(Tabelle6.Runde68[[#This Row],[1.Rd]:[6.Rd]])</f>
        <v>398.8</v>
      </c>
      <c r="Q32" s="4"/>
    </row>
    <row r="33" spans="1:17" x14ac:dyDescent="0.25">
      <c r="A33" s="9" t="s">
        <v>105</v>
      </c>
      <c r="B33" s="9" t="s">
        <v>105</v>
      </c>
      <c r="C33" s="1" t="s">
        <v>124</v>
      </c>
      <c r="D33" s="1" t="s">
        <v>24</v>
      </c>
      <c r="E33" s="3">
        <f>COUNTIF(Tabelle6.Runde68[[#This Row],[1.Rd]:[6.Rd]],"&gt;399,9")</f>
        <v>0</v>
      </c>
      <c r="F33" s="1">
        <v>1</v>
      </c>
      <c r="G33" s="1">
        <v>1</v>
      </c>
      <c r="H33" s="2">
        <v>383.9</v>
      </c>
      <c r="I33" s="1"/>
      <c r="J33" s="2"/>
      <c r="K33" s="2"/>
      <c r="L33" s="2"/>
      <c r="M33" s="2">
        <v>383.9</v>
      </c>
      <c r="N33" s="2"/>
      <c r="O33" s="2"/>
      <c r="P33" s="2">
        <f>AVERAGE(Tabelle6.Runde68[[#This Row],[1.Rd]:[6.Rd]])</f>
        <v>383.9</v>
      </c>
      <c r="Q33" s="4"/>
    </row>
    <row r="34" spans="1:17" x14ac:dyDescent="0.25">
      <c r="A34" s="9" t="s">
        <v>106</v>
      </c>
      <c r="B34" s="1" t="s">
        <v>106</v>
      </c>
      <c r="C34" s="1" t="s">
        <v>33</v>
      </c>
      <c r="D34" s="1" t="s">
        <v>28</v>
      </c>
      <c r="E34" s="3">
        <f>COUNTIF(Tabelle6.Runde68[[#This Row],[1.Rd]:[6.Rd]],"&gt;399,9")</f>
        <v>1</v>
      </c>
      <c r="F34" s="1">
        <v>0</v>
      </c>
      <c r="G34" s="1">
        <v>6</v>
      </c>
      <c r="H34" s="2">
        <v>394.6</v>
      </c>
      <c r="I34" s="1"/>
      <c r="J34" s="6">
        <v>400.8</v>
      </c>
      <c r="K34" s="2">
        <v>393.6</v>
      </c>
      <c r="L34" s="2">
        <v>396.5</v>
      </c>
      <c r="M34" s="2">
        <v>395.6</v>
      </c>
      <c r="N34" s="2">
        <v>381.5</v>
      </c>
      <c r="O34" s="2">
        <v>399.7</v>
      </c>
      <c r="P34" s="2">
        <f>AVERAGE(Tabelle6.Runde68[[#This Row],[1.Rd]:[6.Rd]])</f>
        <v>394.61666666666662</v>
      </c>
      <c r="Q34" s="4"/>
    </row>
    <row r="35" spans="1:17" x14ac:dyDescent="0.25">
      <c r="A35" s="9" t="s">
        <v>107</v>
      </c>
      <c r="B35" s="9" t="s">
        <v>107</v>
      </c>
      <c r="C35" s="1" t="s">
        <v>58</v>
      </c>
      <c r="D35" s="1" t="s">
        <v>21</v>
      </c>
      <c r="E35" s="3">
        <f>COUNTIF(Tabelle6.Runde68[[#This Row],[1.Rd]:[6.Rd]],"&gt;399,9")</f>
        <v>0</v>
      </c>
      <c r="F35" s="1">
        <v>0</v>
      </c>
      <c r="G35" s="1">
        <v>6</v>
      </c>
      <c r="H35" s="2">
        <v>384.3</v>
      </c>
      <c r="I35" s="1"/>
      <c r="J35" s="6">
        <v>381.5</v>
      </c>
      <c r="K35" s="2">
        <v>390.3</v>
      </c>
      <c r="L35" s="2">
        <v>377.2</v>
      </c>
      <c r="M35" s="2">
        <v>383.1</v>
      </c>
      <c r="N35" s="2">
        <v>387.5</v>
      </c>
      <c r="O35" s="2">
        <v>386.4</v>
      </c>
      <c r="P35" s="2">
        <f>AVERAGE(Tabelle6.Runde68[[#This Row],[1.Rd]:[6.Rd]])</f>
        <v>384.33333333333331</v>
      </c>
      <c r="Q35" s="4"/>
    </row>
    <row r="36" spans="1:17" x14ac:dyDescent="0.25">
      <c r="A36" s="9" t="s">
        <v>108</v>
      </c>
      <c r="B36" s="9" t="s">
        <v>109</v>
      </c>
      <c r="C36" s="1" t="s">
        <v>61</v>
      </c>
      <c r="D36" s="1" t="s">
        <v>25</v>
      </c>
      <c r="E36" s="3">
        <f>COUNTIF(Tabelle6.Runde68[[#This Row],[1.Rd]:[6.Rd]],"&gt;399,9")</f>
        <v>0</v>
      </c>
      <c r="F36" s="1">
        <v>0</v>
      </c>
      <c r="G36" s="1">
        <v>5</v>
      </c>
      <c r="H36" s="2">
        <v>379.8</v>
      </c>
      <c r="I36" s="1"/>
      <c r="J36" s="2"/>
      <c r="K36" s="2">
        <v>377.1</v>
      </c>
      <c r="L36" s="2">
        <v>373.8</v>
      </c>
      <c r="M36" s="2">
        <v>382</v>
      </c>
      <c r="N36" s="2">
        <v>380.1</v>
      </c>
      <c r="O36" s="2">
        <v>385.8</v>
      </c>
      <c r="P36" s="2">
        <f>AVERAGE(Tabelle6.Runde68[[#This Row],[1.Rd]:[6.Rd]])</f>
        <v>379.76</v>
      </c>
      <c r="Q36" s="4"/>
    </row>
    <row r="37" spans="1:17" x14ac:dyDescent="0.25">
      <c r="A37" s="9" t="s">
        <v>109</v>
      </c>
      <c r="B37" s="1" t="s">
        <v>108</v>
      </c>
      <c r="C37" s="1" t="s">
        <v>46</v>
      </c>
      <c r="D37" s="1" t="s">
        <v>22</v>
      </c>
      <c r="E37" s="3">
        <f>COUNTIF(Tabelle6.Runde68[[#This Row],[1.Rd]:[6.Rd]],"&gt;399,9")</f>
        <v>0</v>
      </c>
      <c r="F37" s="1">
        <v>0</v>
      </c>
      <c r="G37" s="1">
        <v>4</v>
      </c>
      <c r="H37" s="2">
        <v>388.3</v>
      </c>
      <c r="I37" s="1"/>
      <c r="J37" s="6">
        <v>394.2</v>
      </c>
      <c r="K37" s="2">
        <v>389.4</v>
      </c>
      <c r="L37" s="2">
        <v>388.5</v>
      </c>
      <c r="M37" s="2">
        <v>381</v>
      </c>
      <c r="N37" s="2"/>
      <c r="O37" s="2"/>
      <c r="P37" s="2">
        <f>AVERAGE(Tabelle6.Runde68[[#This Row],[1.Rd]:[6.Rd]])</f>
        <v>388.27499999999998</v>
      </c>
      <c r="Q37" s="4"/>
    </row>
    <row r="38" spans="1:17" x14ac:dyDescent="0.25">
      <c r="A38" s="9" t="s">
        <v>110</v>
      </c>
      <c r="B38" s="1" t="s">
        <v>110</v>
      </c>
      <c r="C38" s="1" t="s">
        <v>45</v>
      </c>
      <c r="D38" s="1" t="s">
        <v>22</v>
      </c>
      <c r="E38" s="3">
        <f>COUNTIF(Tabelle6.Runde68[[#This Row],[1.Rd]:[6.Rd]],"&gt;399,9")</f>
        <v>0</v>
      </c>
      <c r="F38" s="1">
        <v>0</v>
      </c>
      <c r="G38" s="1">
        <v>4</v>
      </c>
      <c r="H38" s="6">
        <v>386.9</v>
      </c>
      <c r="I38" s="1"/>
      <c r="J38" s="6">
        <v>385.8</v>
      </c>
      <c r="K38" s="2"/>
      <c r="L38" s="2"/>
      <c r="M38" s="2">
        <v>386.3</v>
      </c>
      <c r="N38" s="2">
        <v>391.1</v>
      </c>
      <c r="O38" s="2">
        <v>384.4</v>
      </c>
      <c r="P38" s="2">
        <f>AVERAGE(Tabelle6.Runde68[[#This Row],[1.Rd]:[6.Rd]])</f>
        <v>386.9</v>
      </c>
      <c r="Q38" s="4"/>
    </row>
    <row r="39" spans="1:17" x14ac:dyDescent="0.25">
      <c r="A39" s="9" t="s">
        <v>111</v>
      </c>
      <c r="B39" s="1" t="s">
        <v>112</v>
      </c>
      <c r="C39" s="1" t="s">
        <v>62</v>
      </c>
      <c r="D39" s="1" t="s">
        <v>21</v>
      </c>
      <c r="E39" s="3">
        <f>COUNTIF(Tabelle6.Runde68[[#This Row],[1.Rd]:[6.Rd]],"&gt;399,9")</f>
        <v>0</v>
      </c>
      <c r="F39" s="1">
        <v>0</v>
      </c>
      <c r="G39" s="1">
        <v>4</v>
      </c>
      <c r="H39" s="2">
        <v>370.7</v>
      </c>
      <c r="I39" s="1"/>
      <c r="J39" s="2"/>
      <c r="K39" s="2">
        <v>381.8</v>
      </c>
      <c r="L39" s="2">
        <v>366.8</v>
      </c>
      <c r="M39" s="2"/>
      <c r="N39" s="2">
        <v>363.2</v>
      </c>
      <c r="O39" s="2">
        <v>371.1</v>
      </c>
      <c r="P39" s="2">
        <f>AVERAGE(Tabelle6.Runde68[[#This Row],[1.Rd]:[6.Rd]])</f>
        <v>370.72500000000002</v>
      </c>
      <c r="Q39" s="4"/>
    </row>
    <row r="40" spans="1:17" x14ac:dyDescent="0.25">
      <c r="A40" s="9" t="s">
        <v>112</v>
      </c>
      <c r="B40" s="9" t="s">
        <v>118</v>
      </c>
      <c r="C40" s="1" t="s">
        <v>69</v>
      </c>
      <c r="D40" s="1" t="s">
        <v>20</v>
      </c>
      <c r="E40" s="3">
        <f>COUNTIF(Tabelle6.Runde68[[#This Row],[1.Rd]:[6.Rd]],"&gt;399,9")</f>
        <v>0</v>
      </c>
      <c r="F40" s="1">
        <v>0</v>
      </c>
      <c r="G40" s="1">
        <v>3</v>
      </c>
      <c r="H40" s="2">
        <v>377.9</v>
      </c>
      <c r="I40" s="1"/>
      <c r="J40" s="2"/>
      <c r="K40" s="2"/>
      <c r="L40" s="2">
        <v>375.1</v>
      </c>
      <c r="M40" s="2"/>
      <c r="N40" s="2">
        <v>379.1</v>
      </c>
      <c r="O40" s="2">
        <v>379.6</v>
      </c>
      <c r="P40" s="2">
        <f>AVERAGE(Tabelle6.Runde68[[#This Row],[1.Rd]:[6.Rd]])</f>
        <v>377.93333333333339</v>
      </c>
      <c r="Q40" s="4"/>
    </row>
    <row r="41" spans="1:17" x14ac:dyDescent="0.25">
      <c r="A41" s="9" t="s">
        <v>118</v>
      </c>
      <c r="B41" s="9" t="s">
        <v>111</v>
      </c>
      <c r="C41" s="1" t="s">
        <v>59</v>
      </c>
      <c r="D41" s="1" t="s">
        <v>21</v>
      </c>
      <c r="E41" s="3">
        <f>COUNTIF(Tabelle6.Runde68[[#This Row],[1.Rd]:[6.Rd]],"&gt;399,9")</f>
        <v>0</v>
      </c>
      <c r="F41" s="1">
        <v>0</v>
      </c>
      <c r="G41" s="1">
        <v>3</v>
      </c>
      <c r="H41" s="2">
        <v>375.4</v>
      </c>
      <c r="I41" s="1"/>
      <c r="J41" s="6">
        <v>384.3</v>
      </c>
      <c r="K41" s="2">
        <v>370.8</v>
      </c>
      <c r="L41" s="2">
        <v>371.1</v>
      </c>
      <c r="M41" s="2"/>
      <c r="N41" s="2"/>
      <c r="O41" s="2"/>
      <c r="P41" s="2">
        <f>AVERAGE(Tabelle6.Runde68[[#This Row],[1.Rd]:[6.Rd]])</f>
        <v>375.40000000000003</v>
      </c>
      <c r="Q41" s="4"/>
    </row>
    <row r="42" spans="1:17" x14ac:dyDescent="0.25">
      <c r="A42" s="9" t="s">
        <v>119</v>
      </c>
      <c r="B42" s="1" t="s">
        <v>131</v>
      </c>
      <c r="C42" s="1" t="s">
        <v>132</v>
      </c>
      <c r="D42" s="1" t="s">
        <v>23</v>
      </c>
      <c r="E42" s="3">
        <f>COUNTIF(Tabelle6.Runde68[[#This Row],[1.Rd]:[6.Rd]],"&gt;399,9")</f>
        <v>0</v>
      </c>
      <c r="F42" s="1">
        <v>0</v>
      </c>
      <c r="G42" s="1">
        <v>2</v>
      </c>
      <c r="H42" s="2">
        <v>369.6</v>
      </c>
      <c r="I42" s="1"/>
      <c r="J42" s="6"/>
      <c r="K42" s="2"/>
      <c r="L42" s="2"/>
      <c r="M42" s="2"/>
      <c r="N42" s="2">
        <v>371.7</v>
      </c>
      <c r="O42" s="2">
        <v>367.5</v>
      </c>
      <c r="P42" s="2">
        <f>AVERAGE(Tabelle6.Runde68[[#This Row],[1.Rd]:[6.Rd]])</f>
        <v>369.6</v>
      </c>
      <c r="Q42" s="4"/>
    </row>
    <row r="43" spans="1:17" x14ac:dyDescent="0.25">
      <c r="A43" s="9" t="s">
        <v>120</v>
      </c>
      <c r="B43" s="1" t="s">
        <v>119</v>
      </c>
      <c r="C43" s="1" t="s">
        <v>127</v>
      </c>
      <c r="D43" s="1" t="s">
        <v>26</v>
      </c>
      <c r="E43" s="3">
        <f>COUNTIF(Tabelle6.Runde68[[#This Row],[1.Rd]:[6.Rd]],"&gt;399,9")</f>
        <v>0</v>
      </c>
      <c r="F43" s="1">
        <v>0</v>
      </c>
      <c r="G43" s="1">
        <v>1</v>
      </c>
      <c r="H43" s="2">
        <v>393.8</v>
      </c>
      <c r="I43" s="1"/>
      <c r="J43" s="6"/>
      <c r="K43" s="2"/>
      <c r="L43" s="2"/>
      <c r="M43" s="2">
        <v>393.8</v>
      </c>
      <c r="N43" s="2"/>
      <c r="O43" s="2"/>
      <c r="P43" s="2">
        <f>AVERAGE(Tabelle6.Runde68[[#This Row],[1.Rd]:[6.Rd]])</f>
        <v>393.8</v>
      </c>
    </row>
    <row r="44" spans="1:17" x14ac:dyDescent="0.25">
      <c r="A44" s="9" t="s">
        <v>121</v>
      </c>
      <c r="B44" s="9" t="s">
        <v>120</v>
      </c>
      <c r="C44" s="1" t="s">
        <v>49</v>
      </c>
      <c r="D44" s="1" t="s">
        <v>29</v>
      </c>
      <c r="E44" s="3">
        <f>COUNTIF(Tabelle6.Runde68[[#This Row],[1.Rd]:[6.Rd]],"&gt;399,9")</f>
        <v>0</v>
      </c>
      <c r="F44" s="1">
        <v>0</v>
      </c>
      <c r="G44" s="1">
        <v>1</v>
      </c>
      <c r="H44" s="6">
        <v>391.3</v>
      </c>
      <c r="I44" s="1"/>
      <c r="J44" s="6">
        <v>391.3</v>
      </c>
      <c r="K44" s="2"/>
      <c r="L44" s="2"/>
      <c r="M44" s="2"/>
      <c r="N44" s="2"/>
      <c r="O44" s="2"/>
      <c r="P44" s="2">
        <f>AVERAGE(Tabelle6.Runde68[[#This Row],[1.Rd]:[6.Rd]])</f>
        <v>391.3</v>
      </c>
    </row>
    <row r="45" spans="1:17" x14ac:dyDescent="0.25">
      <c r="A45" s="9" t="s">
        <v>128</v>
      </c>
      <c r="B45" s="1" t="s">
        <v>121</v>
      </c>
      <c r="C45" s="1" t="s">
        <v>123</v>
      </c>
      <c r="D45" s="1" t="s">
        <v>21</v>
      </c>
      <c r="E45" s="3">
        <f>COUNTIF(Tabelle6.Runde68[[#This Row],[1.Rd]:[6.Rd]],"&gt;399,9")</f>
        <v>0</v>
      </c>
      <c r="F45" s="1">
        <v>0</v>
      </c>
      <c r="G45" s="1">
        <v>1</v>
      </c>
      <c r="H45" s="2">
        <v>384.7</v>
      </c>
      <c r="I45" s="1"/>
      <c r="J45" s="2"/>
      <c r="K45" s="2"/>
      <c r="L45" s="2"/>
      <c r="M45" s="2">
        <v>384.7</v>
      </c>
      <c r="N45" s="2"/>
      <c r="O45" s="2"/>
      <c r="P45" s="2">
        <f>AVERAGE(Tabelle6.Runde68[[#This Row],[1.Rd]:[6.Rd]])</f>
        <v>384.7</v>
      </c>
    </row>
    <row r="46" spans="1:17" x14ac:dyDescent="0.25">
      <c r="A46" s="9" t="s">
        <v>129</v>
      </c>
      <c r="B46" s="9" t="s">
        <v>128</v>
      </c>
      <c r="C46" s="1" t="s">
        <v>125</v>
      </c>
      <c r="D46" s="1" t="s">
        <v>25</v>
      </c>
      <c r="E46" s="3">
        <f>COUNTIF(Tabelle6.Runde68[[#This Row],[1.Rd]:[6.Rd]],"&gt;399,9")</f>
        <v>0</v>
      </c>
      <c r="F46" s="1">
        <v>0</v>
      </c>
      <c r="G46" s="1">
        <v>1</v>
      </c>
      <c r="H46" s="2">
        <v>380.7</v>
      </c>
      <c r="I46" s="1"/>
      <c r="J46" s="2"/>
      <c r="K46" s="2"/>
      <c r="L46" s="2"/>
      <c r="M46" s="2">
        <v>380.7</v>
      </c>
      <c r="N46" s="2"/>
      <c r="O46" s="2"/>
      <c r="P46" s="2">
        <f>AVERAGE(Tabelle6.Runde68[[#This Row],[1.Rd]:[6.Rd]])</f>
        <v>380.7</v>
      </c>
    </row>
    <row r="47" spans="1:17" x14ac:dyDescent="0.25">
      <c r="A47" s="9" t="s">
        <v>130</v>
      </c>
      <c r="B47" s="9" t="s">
        <v>126</v>
      </c>
      <c r="C47" s="1" t="s">
        <v>136</v>
      </c>
      <c r="D47" s="1" t="s">
        <v>25</v>
      </c>
      <c r="E47" s="3">
        <f>COUNTIF(Tabelle6.Runde68[[#This Row],[1.Rd]:[6.Rd]],"&gt;399,9")</f>
        <v>0</v>
      </c>
      <c r="F47" s="1">
        <v>0</v>
      </c>
      <c r="G47" s="1">
        <v>1</v>
      </c>
      <c r="H47" s="2">
        <v>378.8</v>
      </c>
      <c r="I47" s="1"/>
      <c r="J47" s="2"/>
      <c r="K47" s="2"/>
      <c r="L47" s="2"/>
      <c r="M47" s="2"/>
      <c r="N47" s="2"/>
      <c r="O47" s="2">
        <v>378.8</v>
      </c>
      <c r="P47" s="2">
        <f>AVERAGE(Tabelle6.Runde68[[#This Row],[1.Rd]:[6.Rd]])</f>
        <v>378.8</v>
      </c>
    </row>
    <row r="48" spans="1:17" x14ac:dyDescent="0.25">
      <c r="A48" s="9" t="s">
        <v>131</v>
      </c>
      <c r="B48" s="1" t="s">
        <v>129</v>
      </c>
      <c r="C48" s="1" t="s">
        <v>53</v>
      </c>
      <c r="D48" s="1" t="s">
        <v>25</v>
      </c>
      <c r="E48" s="3">
        <f>COUNTIF(Tabelle6.Runde68[[#This Row],[1.Rd]:[6.Rd]],"&gt;399,9")</f>
        <v>0</v>
      </c>
      <c r="F48" s="1">
        <v>0</v>
      </c>
      <c r="G48" s="1">
        <v>1</v>
      </c>
      <c r="H48" s="6">
        <v>372.9</v>
      </c>
      <c r="I48" s="1"/>
      <c r="J48" s="6">
        <v>372.9</v>
      </c>
      <c r="K48" s="2"/>
      <c r="L48" s="2"/>
      <c r="M48" s="2"/>
      <c r="N48" s="2"/>
      <c r="O48" s="2"/>
      <c r="P48" s="2">
        <f>AVERAGE(Tabelle6.Runde68[[#This Row],[1.Rd]:[6.Rd]])</f>
        <v>372.9</v>
      </c>
    </row>
    <row r="49" spans="1:16" x14ac:dyDescent="0.25">
      <c r="A49" s="9" t="s">
        <v>134</v>
      </c>
      <c r="B49" s="9" t="s">
        <v>130</v>
      </c>
      <c r="C49" s="1" t="s">
        <v>50</v>
      </c>
      <c r="D49" s="1" t="s">
        <v>29</v>
      </c>
      <c r="E49" s="3">
        <f>COUNTIF(Tabelle6.Runde68[[#This Row],[1.Rd]:[6.Rd]],"&gt;399,9")</f>
        <v>0</v>
      </c>
      <c r="F49" s="1">
        <v>0</v>
      </c>
      <c r="G49" s="1">
        <v>1</v>
      </c>
      <c r="H49" s="6">
        <v>372.6</v>
      </c>
      <c r="I49" s="1"/>
      <c r="J49" s="6">
        <v>372.6</v>
      </c>
      <c r="K49" s="2"/>
      <c r="L49" s="2"/>
      <c r="M49" s="2"/>
      <c r="N49" s="2"/>
      <c r="O49" s="2"/>
      <c r="P49" s="2">
        <f>AVERAGE(Tabelle6.Runde68[[#This Row],[1.Rd]:[6.Rd]])</f>
        <v>372.6</v>
      </c>
    </row>
    <row r="50" spans="1:16" x14ac:dyDescent="0.25">
      <c r="A50" s="9" t="s">
        <v>137</v>
      </c>
      <c r="B50" s="9" t="s">
        <v>134</v>
      </c>
      <c r="C50" s="1" t="s">
        <v>41</v>
      </c>
      <c r="D50" s="1" t="s">
        <v>23</v>
      </c>
      <c r="E50" s="3">
        <f>COUNTIF(Tabelle6.Runde68[[#This Row],[1.Rd]:[6.Rd]],"&gt;399,9")</f>
        <v>0</v>
      </c>
      <c r="F50" s="1">
        <v>0</v>
      </c>
      <c r="G50" s="1">
        <v>1</v>
      </c>
      <c r="H50" s="6">
        <v>362.8</v>
      </c>
      <c r="I50" s="1"/>
      <c r="J50" s="6">
        <v>362.8</v>
      </c>
      <c r="K50" s="2"/>
      <c r="L50" s="2"/>
      <c r="M50" s="2"/>
      <c r="N50" s="2"/>
      <c r="O50" s="2"/>
      <c r="P50" s="2">
        <f>AVERAGE(Tabelle6.Runde68[[#This Row],[1.Rd]:[6.Rd]])</f>
        <v>362.8</v>
      </c>
    </row>
    <row r="51" spans="1:16" x14ac:dyDescent="0.25">
      <c r="A51" s="1" t="s">
        <v>70</v>
      </c>
      <c r="B51" s="1"/>
      <c r="C51" s="1"/>
      <c r="D51" s="1"/>
      <c r="E51" s="1">
        <f>SUBTOTAL(109,Tabelle6.Runde68[400,0])</f>
        <v>39</v>
      </c>
      <c r="F51" s="1"/>
      <c r="G51" s="1"/>
      <c r="H51" s="1"/>
      <c r="I51" s="1"/>
      <c r="J51" s="8">
        <f>SUBTOTAL(103,Tabelle6.Runde68[1.Rd])</f>
        <v>30</v>
      </c>
      <c r="K51" s="1">
        <f>SUBTOTAL(103,Tabelle6.Runde68[2.Rd])</f>
        <v>30</v>
      </c>
      <c r="L51" s="1">
        <f>SUBTOTAL(103,Tabelle6.Runde68[3.Rd])</f>
        <v>30</v>
      </c>
      <c r="M51" s="1">
        <f>SUBTOTAL(103,Tabelle6.Runde68[4.Rd])</f>
        <v>30</v>
      </c>
      <c r="N51" s="1">
        <f>SUBTOTAL(103,Tabelle6.Runde68[5.Rd])</f>
        <v>30</v>
      </c>
      <c r="O51" s="1">
        <f>SUBTOTAL(103,Tabelle6.Runde68[6.Rd])</f>
        <v>30</v>
      </c>
      <c r="P51" s="2"/>
    </row>
    <row r="52" spans="1:16" x14ac:dyDescent="0.25">
      <c r="C52" s="1"/>
      <c r="D52" s="1"/>
    </row>
    <row r="53" spans="1:16" x14ac:dyDescent="0.25">
      <c r="C53" s="1"/>
      <c r="D53" s="1"/>
    </row>
    <row r="54" spans="1:16" x14ac:dyDescent="0.25">
      <c r="C54" s="1"/>
      <c r="D54" s="1"/>
    </row>
    <row r="55" spans="1:16" x14ac:dyDescent="0.25">
      <c r="C55" s="1"/>
      <c r="D55" s="1"/>
    </row>
    <row r="56" spans="1:16" x14ac:dyDescent="0.25">
      <c r="C56" s="1"/>
      <c r="D56" s="1"/>
    </row>
    <row r="57" spans="1:16" x14ac:dyDescent="0.25">
      <c r="C57" s="1"/>
      <c r="D57" s="1"/>
    </row>
    <row r="58" spans="1:16" x14ac:dyDescent="0.25">
      <c r="C58" s="1"/>
      <c r="D58" s="1"/>
    </row>
    <row r="59" spans="1:16" x14ac:dyDescent="0.25">
      <c r="C59" s="1"/>
      <c r="D59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5:D50" xr:uid="{856E40E3-8896-491E-B90A-F65CC686CC34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6261-BEB0-4DCE-B5B6-B619B02E8545}">
  <dimension ref="A1:R62"/>
  <sheetViews>
    <sheetView zoomScale="72" zoomScaleNormal="72" workbookViewId="0">
      <selection activeCell="G6" sqref="G6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6" width="11.7109375" customWidth="1"/>
    <col min="7" max="7" width="11.85546875" customWidth="1"/>
    <col min="8" max="8" width="13" bestFit="1" customWidth="1"/>
    <col min="9" max="9" width="2.5703125" customWidth="1"/>
    <col min="10" max="12" width="10.85546875" bestFit="1" customWidth="1"/>
    <col min="13" max="16" width="10.85546875" customWidth="1"/>
  </cols>
  <sheetData>
    <row r="1" spans="1:18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8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18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4" spans="1:18" x14ac:dyDescent="0.25">
      <c r="A4" t="s">
        <v>3</v>
      </c>
      <c r="B4" t="s">
        <v>4</v>
      </c>
      <c r="C4" s="1" t="s">
        <v>5</v>
      </c>
      <c r="D4" s="1" t="s">
        <v>6</v>
      </c>
      <c r="E4" s="2" t="s">
        <v>74</v>
      </c>
      <c r="F4" s="1" t="s">
        <v>7</v>
      </c>
      <c r="G4" s="1" t="s">
        <v>8</v>
      </c>
      <c r="H4" s="1" t="s">
        <v>9</v>
      </c>
      <c r="I4" s="1" t="s">
        <v>113</v>
      </c>
      <c r="J4" s="1" t="s">
        <v>114</v>
      </c>
      <c r="K4" s="1" t="s">
        <v>115</v>
      </c>
      <c r="L4" s="1" t="s">
        <v>117</v>
      </c>
      <c r="M4" s="1" t="s">
        <v>122</v>
      </c>
      <c r="N4" s="1" t="s">
        <v>133</v>
      </c>
      <c r="O4" s="1" t="s">
        <v>135</v>
      </c>
      <c r="P4" s="1" t="s">
        <v>139</v>
      </c>
      <c r="Q4" s="1" t="s">
        <v>116</v>
      </c>
    </row>
    <row r="5" spans="1:18" x14ac:dyDescent="0.25">
      <c r="A5" s="9" t="s">
        <v>77</v>
      </c>
      <c r="B5" s="9" t="s">
        <v>77</v>
      </c>
      <c r="C5" s="1" t="s">
        <v>51</v>
      </c>
      <c r="D5" s="1" t="s">
        <v>25</v>
      </c>
      <c r="E5" s="3">
        <f>COUNTIF(Tabelle7.Runde689[[#This Row],[1.Rd]:[7.Rd]],"&gt;399,9")</f>
        <v>6</v>
      </c>
      <c r="F5" s="1">
        <v>6</v>
      </c>
      <c r="G5" s="1">
        <f>COUNT(Tabelle7.Runde689[[#This Row],[1.Rd]:[7.Rd]])</f>
        <v>7</v>
      </c>
      <c r="H5" s="2">
        <v>406.1</v>
      </c>
      <c r="I5" s="1"/>
      <c r="J5" s="6">
        <v>409.9</v>
      </c>
      <c r="K5" s="2">
        <v>409.1</v>
      </c>
      <c r="L5" s="2">
        <v>404.4</v>
      </c>
      <c r="M5" s="2">
        <v>406</v>
      </c>
      <c r="N5" s="2">
        <v>406.2</v>
      </c>
      <c r="O5" s="2">
        <v>408.5</v>
      </c>
      <c r="P5" s="2">
        <v>398.6</v>
      </c>
      <c r="Q5" s="2">
        <f>AVERAGE(Tabelle7.Runde689[[#This Row],[1.Rd]:[7.Rd]])</f>
        <v>406.1</v>
      </c>
      <c r="R5" s="4"/>
    </row>
    <row r="6" spans="1:18" x14ac:dyDescent="0.25">
      <c r="A6" s="9" t="s">
        <v>78</v>
      </c>
      <c r="B6" s="9" t="s">
        <v>79</v>
      </c>
      <c r="C6" s="1" t="s">
        <v>38</v>
      </c>
      <c r="D6" s="1" t="s">
        <v>26</v>
      </c>
      <c r="E6" s="3">
        <f>COUNTIF(Tabelle7.Runde689[[#This Row],[1.Rd]:[7.Rd]],"&gt;399,9")</f>
        <v>1</v>
      </c>
      <c r="F6" s="1">
        <v>5</v>
      </c>
      <c r="G6" s="1">
        <f>COUNT(Tabelle7.Runde689[[#This Row],[1.Rd]:[7.Rd]])</f>
        <v>7</v>
      </c>
      <c r="H6" s="2">
        <v>393.7</v>
      </c>
      <c r="I6" s="1"/>
      <c r="J6" s="6">
        <v>384.1</v>
      </c>
      <c r="K6" s="2">
        <v>388.9</v>
      </c>
      <c r="L6" s="2">
        <v>392.2</v>
      </c>
      <c r="M6" s="2">
        <v>388.3</v>
      </c>
      <c r="N6" s="2">
        <v>398.4</v>
      </c>
      <c r="O6" s="2">
        <v>394</v>
      </c>
      <c r="P6" s="2">
        <v>409.7</v>
      </c>
      <c r="Q6" s="2">
        <f>AVERAGE(Tabelle7.Runde689[[#This Row],[1.Rd]:[7.Rd]])</f>
        <v>393.65714285714284</v>
      </c>
      <c r="R6" s="4"/>
    </row>
    <row r="7" spans="1:18" x14ac:dyDescent="0.25">
      <c r="A7" s="9" t="s">
        <v>79</v>
      </c>
      <c r="B7" s="9" t="s">
        <v>82</v>
      </c>
      <c r="C7" s="1" t="s">
        <v>48</v>
      </c>
      <c r="D7" s="1" t="s">
        <v>29</v>
      </c>
      <c r="E7" s="3">
        <f>COUNTIF(Tabelle7.Runde689[[#This Row],[1.Rd]:[7.Rd]],"&gt;399,9")</f>
        <v>1</v>
      </c>
      <c r="F7" s="1">
        <v>4</v>
      </c>
      <c r="G7" s="1">
        <f>COUNT(Tabelle7.Runde689[[#This Row],[1.Rd]:[7.Rd]])</f>
        <v>7</v>
      </c>
      <c r="H7" s="6">
        <v>399.3</v>
      </c>
      <c r="I7" s="1"/>
      <c r="J7" s="6">
        <v>397.2</v>
      </c>
      <c r="K7" s="2">
        <v>398.6</v>
      </c>
      <c r="L7" s="2">
        <v>399.6</v>
      </c>
      <c r="M7" s="2">
        <v>398.2</v>
      </c>
      <c r="N7" s="2">
        <v>398.8</v>
      </c>
      <c r="O7" s="2">
        <v>406.3</v>
      </c>
      <c r="P7" s="2">
        <v>396.4</v>
      </c>
      <c r="Q7" s="2">
        <f>AVERAGE(Tabelle7.Runde689[[#This Row],[1.Rd]:[7.Rd]])</f>
        <v>399.30000000000007</v>
      </c>
      <c r="R7" s="4"/>
    </row>
    <row r="8" spans="1:18" x14ac:dyDescent="0.25">
      <c r="A8" s="9" t="s">
        <v>80</v>
      </c>
      <c r="B8" s="9" t="s">
        <v>78</v>
      </c>
      <c r="C8" s="1" t="s">
        <v>37</v>
      </c>
      <c r="D8" s="1" t="s">
        <v>26</v>
      </c>
      <c r="E8" s="3">
        <f>COUNTIF(Tabelle7.Runde689[[#This Row],[1.Rd]:[7.Rd]],"&gt;399,9")</f>
        <v>0</v>
      </c>
      <c r="F8" s="1">
        <v>4</v>
      </c>
      <c r="G8" s="1">
        <f>COUNT(Tabelle7.Runde689[[#This Row],[1.Rd]:[7.Rd]])</f>
        <v>7</v>
      </c>
      <c r="H8" s="2">
        <v>396.8</v>
      </c>
      <c r="I8" s="1"/>
      <c r="J8" s="6">
        <v>397</v>
      </c>
      <c r="K8" s="2">
        <v>397.9</v>
      </c>
      <c r="L8" s="2">
        <v>396.9</v>
      </c>
      <c r="M8" s="2">
        <v>397.5</v>
      </c>
      <c r="N8" s="2">
        <v>396.2</v>
      </c>
      <c r="O8" s="2">
        <v>397.3</v>
      </c>
      <c r="P8" s="2">
        <v>395.1</v>
      </c>
      <c r="Q8" s="2">
        <f>AVERAGE(Tabelle7.Runde689[[#This Row],[1.Rd]:[7.Rd]])</f>
        <v>396.84285714285716</v>
      </c>
      <c r="R8" s="4"/>
    </row>
    <row r="9" spans="1:18" x14ac:dyDescent="0.25">
      <c r="A9" s="9" t="s">
        <v>81</v>
      </c>
      <c r="B9" s="9" t="s">
        <v>83</v>
      </c>
      <c r="C9" s="1" t="s">
        <v>42</v>
      </c>
      <c r="D9" s="1" t="s">
        <v>27</v>
      </c>
      <c r="E9" s="3">
        <f>COUNTIF(Tabelle7.Runde689[[#This Row],[1.Rd]:[7.Rd]],"&gt;399,9")</f>
        <v>0</v>
      </c>
      <c r="F9" s="1">
        <v>4</v>
      </c>
      <c r="G9" s="1">
        <f>COUNT(Tabelle7.Runde689[[#This Row],[1.Rd]:[7.Rd]])</f>
        <v>7</v>
      </c>
      <c r="H9" s="2">
        <v>394.2</v>
      </c>
      <c r="I9" s="1"/>
      <c r="J9" s="6">
        <v>397.6</v>
      </c>
      <c r="K9" s="2">
        <v>396.9</v>
      </c>
      <c r="L9" s="2">
        <v>395</v>
      </c>
      <c r="M9" s="2">
        <v>391.9</v>
      </c>
      <c r="N9" s="2">
        <v>393.2</v>
      </c>
      <c r="O9" s="2">
        <v>391.1</v>
      </c>
      <c r="P9" s="2">
        <v>393.7</v>
      </c>
      <c r="Q9" s="2">
        <f>AVERAGE(Tabelle7.Runde689[[#This Row],[1.Rd]:[7.Rd]])</f>
        <v>394.2</v>
      </c>
      <c r="R9" s="4"/>
    </row>
    <row r="10" spans="1:18" x14ac:dyDescent="0.25">
      <c r="A10" s="9" t="s">
        <v>82</v>
      </c>
      <c r="B10" s="9" t="s">
        <v>86</v>
      </c>
      <c r="C10" s="1" t="s">
        <v>54</v>
      </c>
      <c r="D10" s="1" t="s">
        <v>20</v>
      </c>
      <c r="E10" s="3">
        <f>COUNTIF(Tabelle7.Runde689[[#This Row],[1.Rd]:[7.Rd]],"&gt;399,9")</f>
        <v>4</v>
      </c>
      <c r="F10" s="1">
        <v>4</v>
      </c>
      <c r="G10" s="1">
        <f>COUNT(Tabelle7.Runde689[[#This Row],[1.Rd]:[7.Rd]])</f>
        <v>6</v>
      </c>
      <c r="H10" s="2">
        <v>401.2</v>
      </c>
      <c r="I10" s="1"/>
      <c r="J10" s="6">
        <v>395.1</v>
      </c>
      <c r="K10" s="2">
        <v>388</v>
      </c>
      <c r="L10" s="2">
        <v>400.9</v>
      </c>
      <c r="M10" s="2">
        <v>408.9</v>
      </c>
      <c r="N10" s="2">
        <v>405.1</v>
      </c>
      <c r="O10" s="2"/>
      <c r="P10" s="2">
        <v>409.4</v>
      </c>
      <c r="Q10" s="2">
        <f>AVERAGE(Tabelle7.Runde689[[#This Row],[1.Rd]:[7.Rd]])</f>
        <v>401.23333333333335</v>
      </c>
      <c r="R10" s="4"/>
    </row>
    <row r="11" spans="1:18" x14ac:dyDescent="0.25">
      <c r="A11" s="9" t="s">
        <v>83</v>
      </c>
      <c r="B11" s="9" t="s">
        <v>80</v>
      </c>
      <c r="C11" s="1" t="s">
        <v>30</v>
      </c>
      <c r="D11" s="1" t="s">
        <v>24</v>
      </c>
      <c r="E11" s="3">
        <f>COUNTIF(Tabelle7.Runde689[[#This Row],[1.Rd]:[7.Rd]],"&gt;399,9")</f>
        <v>5</v>
      </c>
      <c r="F11" s="1">
        <v>4</v>
      </c>
      <c r="G11" s="1">
        <f>COUNT(Tabelle7.Runde689[[#This Row],[1.Rd]:[7.Rd]])</f>
        <v>6</v>
      </c>
      <c r="H11" s="2">
        <v>389.3</v>
      </c>
      <c r="I11" s="1"/>
      <c r="J11" s="6">
        <v>305.2</v>
      </c>
      <c r="K11" s="2">
        <v>402.8</v>
      </c>
      <c r="L11" s="2">
        <v>408.9</v>
      </c>
      <c r="M11" s="2">
        <v>400.4</v>
      </c>
      <c r="N11" s="2">
        <v>406.6</v>
      </c>
      <c r="O11" s="2">
        <v>411.7</v>
      </c>
      <c r="P11" s="2"/>
      <c r="Q11" s="2">
        <f>AVERAGE(Tabelle7.Runde689[[#This Row],[1.Rd]:[7.Rd]])</f>
        <v>389.26666666666665</v>
      </c>
      <c r="R11" s="4"/>
    </row>
    <row r="12" spans="1:18" x14ac:dyDescent="0.25">
      <c r="A12" s="9" t="s">
        <v>84</v>
      </c>
      <c r="B12" s="9" t="s">
        <v>81</v>
      </c>
      <c r="C12" s="1" t="s">
        <v>55</v>
      </c>
      <c r="D12" s="1" t="s">
        <v>20</v>
      </c>
      <c r="E12" s="3">
        <f>COUNTIF(Tabelle7.Runde689[[#This Row],[1.Rd]:[7.Rd]],"&gt;399,9")</f>
        <v>5</v>
      </c>
      <c r="F12" s="1">
        <v>4</v>
      </c>
      <c r="G12" s="1">
        <f>COUNT(Tabelle7.Runde689[[#This Row],[1.Rd]:[7.Rd]])</f>
        <v>5</v>
      </c>
      <c r="H12" s="2">
        <v>404.2</v>
      </c>
      <c r="I12" s="1"/>
      <c r="J12" s="6">
        <v>406.4</v>
      </c>
      <c r="K12" s="2">
        <v>401.5</v>
      </c>
      <c r="L12" s="2"/>
      <c r="M12" s="2">
        <v>407.7</v>
      </c>
      <c r="N12" s="2">
        <v>402.3</v>
      </c>
      <c r="O12" s="2">
        <v>402.9</v>
      </c>
      <c r="P12" s="2"/>
      <c r="Q12" s="2">
        <f>AVERAGE(Tabelle7.Runde689[[#This Row],[1.Rd]:[7.Rd]])</f>
        <v>404.15999999999997</v>
      </c>
      <c r="R12" s="4"/>
    </row>
    <row r="13" spans="1:18" x14ac:dyDescent="0.25">
      <c r="A13" s="9" t="s">
        <v>85</v>
      </c>
      <c r="B13" s="9" t="s">
        <v>90</v>
      </c>
      <c r="C13" s="1" t="s">
        <v>34</v>
      </c>
      <c r="D13" s="1" t="s">
        <v>28</v>
      </c>
      <c r="E13" s="3">
        <f>COUNTIF(Tabelle7.Runde689[[#This Row],[1.Rd]:[7.Rd]],"&gt;399,9")</f>
        <v>0</v>
      </c>
      <c r="F13" s="1">
        <v>3</v>
      </c>
      <c r="G13" s="1">
        <f>COUNT(Tabelle7.Runde689[[#This Row],[1.Rd]:[7.Rd]])</f>
        <v>7</v>
      </c>
      <c r="H13" s="2">
        <v>392.8</v>
      </c>
      <c r="I13" s="1"/>
      <c r="J13" s="6">
        <v>390.5</v>
      </c>
      <c r="K13" s="2">
        <v>387.3</v>
      </c>
      <c r="L13" s="2">
        <v>388.8</v>
      </c>
      <c r="M13" s="2">
        <v>392.2</v>
      </c>
      <c r="N13" s="2">
        <v>399.8</v>
      </c>
      <c r="O13" s="2">
        <v>396.1</v>
      </c>
      <c r="P13" s="2">
        <v>395.1</v>
      </c>
      <c r="Q13" s="2">
        <f>AVERAGE(Tabelle7.Runde689[[#This Row],[1.Rd]:[7.Rd]])</f>
        <v>392.82857142857137</v>
      </c>
      <c r="R13" s="4"/>
    </row>
    <row r="14" spans="1:18" x14ac:dyDescent="0.25">
      <c r="A14" s="9" t="s">
        <v>86</v>
      </c>
      <c r="B14" s="9" t="s">
        <v>91</v>
      </c>
      <c r="C14" s="1" t="s">
        <v>39</v>
      </c>
      <c r="D14" s="1" t="s">
        <v>23</v>
      </c>
      <c r="E14" s="3">
        <f>COUNTIF(Tabelle7.Runde689[[#This Row],[1.Rd]:[7.Rd]],"&gt;399,9")</f>
        <v>0</v>
      </c>
      <c r="F14" s="1">
        <v>3</v>
      </c>
      <c r="G14" s="1">
        <f>COUNT(Tabelle7.Runde689[[#This Row],[1.Rd]:[7.Rd]])</f>
        <v>7</v>
      </c>
      <c r="H14" s="6">
        <v>392</v>
      </c>
      <c r="I14" s="1"/>
      <c r="J14" s="6">
        <v>397.2</v>
      </c>
      <c r="K14" s="2">
        <v>398.7</v>
      </c>
      <c r="L14" s="2">
        <v>393.8</v>
      </c>
      <c r="M14" s="2">
        <v>377.4</v>
      </c>
      <c r="N14" s="2">
        <v>392.9</v>
      </c>
      <c r="O14" s="2">
        <v>394.5</v>
      </c>
      <c r="P14" s="2">
        <v>389.4</v>
      </c>
      <c r="Q14" s="2">
        <f>AVERAGE(Tabelle7.Runde689[[#This Row],[1.Rd]:[7.Rd]])</f>
        <v>391.98571428571432</v>
      </c>
      <c r="R14" s="4"/>
    </row>
    <row r="15" spans="1:18" x14ac:dyDescent="0.25">
      <c r="A15" s="9" t="s">
        <v>87</v>
      </c>
      <c r="B15" s="9" t="s">
        <v>92</v>
      </c>
      <c r="C15" s="1" t="s">
        <v>40</v>
      </c>
      <c r="D15" s="1" t="s">
        <v>23</v>
      </c>
      <c r="E15" s="3">
        <f>COUNTIF(Tabelle7.Runde689[[#This Row],[1.Rd]:[7.Rd]],"&gt;399,9")</f>
        <v>0</v>
      </c>
      <c r="F15" s="1">
        <v>3</v>
      </c>
      <c r="G15" s="1">
        <f>COUNT(Tabelle7.Runde689[[#This Row],[1.Rd]:[7.Rd]])</f>
        <v>7</v>
      </c>
      <c r="H15" s="6">
        <v>391</v>
      </c>
      <c r="I15" s="1"/>
      <c r="J15" s="6">
        <v>391.5</v>
      </c>
      <c r="K15" s="2">
        <v>394.9</v>
      </c>
      <c r="L15" s="2">
        <v>396.8</v>
      </c>
      <c r="M15" s="2">
        <v>386.1</v>
      </c>
      <c r="N15" s="2">
        <v>388.5</v>
      </c>
      <c r="O15" s="2">
        <v>393.3</v>
      </c>
      <c r="P15" s="2">
        <v>385.6</v>
      </c>
      <c r="Q15" s="2">
        <f>AVERAGE(Tabelle7.Runde689[[#This Row],[1.Rd]:[7.Rd]])</f>
        <v>390.95714285714291</v>
      </c>
      <c r="R15" s="4"/>
    </row>
    <row r="16" spans="1:18" x14ac:dyDescent="0.25">
      <c r="A16" s="9" t="s">
        <v>88</v>
      </c>
      <c r="B16" s="9" t="s">
        <v>84</v>
      </c>
      <c r="C16" s="1" t="s">
        <v>35</v>
      </c>
      <c r="D16" s="1" t="s">
        <v>28</v>
      </c>
      <c r="E16" s="3">
        <f>COUNTIF(Tabelle7.Runde689[[#This Row],[1.Rd]:[7.Rd]],"&gt;399,9")</f>
        <v>0</v>
      </c>
      <c r="F16" s="1">
        <v>3</v>
      </c>
      <c r="G16" s="1">
        <f>COUNT(Tabelle7.Runde689[[#This Row],[1.Rd]:[7.Rd]])</f>
        <v>7</v>
      </c>
      <c r="H16" s="2">
        <v>387.9</v>
      </c>
      <c r="I16" s="1"/>
      <c r="J16" s="6">
        <v>389.5</v>
      </c>
      <c r="K16" s="2">
        <v>383.9</v>
      </c>
      <c r="L16" s="2">
        <v>382.7</v>
      </c>
      <c r="M16" s="2">
        <v>389.3</v>
      </c>
      <c r="N16" s="2">
        <v>390.5</v>
      </c>
      <c r="O16" s="2">
        <v>393.7</v>
      </c>
      <c r="P16" s="2">
        <v>385.5</v>
      </c>
      <c r="Q16" s="2">
        <f>AVERAGE(Tabelle7.Runde689[[#This Row],[1.Rd]:[7.Rd]])</f>
        <v>387.87142857142857</v>
      </c>
      <c r="R16" s="4"/>
    </row>
    <row r="17" spans="1:18" x14ac:dyDescent="0.25">
      <c r="A17" s="9" t="s">
        <v>89</v>
      </c>
      <c r="B17" s="9" t="s">
        <v>95</v>
      </c>
      <c r="C17" s="1" t="s">
        <v>68</v>
      </c>
      <c r="D17" s="1" t="s">
        <v>29</v>
      </c>
      <c r="E17" s="3">
        <f>COUNTIF(Tabelle7.Runde689[[#This Row],[1.Rd]:[7.Rd]],"&gt;399,9")</f>
        <v>0</v>
      </c>
      <c r="F17" s="1">
        <v>3</v>
      </c>
      <c r="G17" s="1">
        <f>COUNT(Tabelle7.Runde689[[#This Row],[1.Rd]:[7.Rd]])</f>
        <v>6</v>
      </c>
      <c r="H17" s="2">
        <v>387.7</v>
      </c>
      <c r="I17" s="1"/>
      <c r="J17" s="2"/>
      <c r="K17" s="2">
        <v>391.7</v>
      </c>
      <c r="L17" s="2">
        <v>387.5</v>
      </c>
      <c r="M17" s="2">
        <v>383.3</v>
      </c>
      <c r="N17" s="2">
        <v>391.8</v>
      </c>
      <c r="O17" s="2">
        <v>381.3</v>
      </c>
      <c r="P17" s="2">
        <v>390.8</v>
      </c>
      <c r="Q17" s="2">
        <f>AVERAGE(Tabelle7.Runde689[[#This Row],[1.Rd]:[7.Rd]])</f>
        <v>387.73333333333335</v>
      </c>
      <c r="R17" s="4"/>
    </row>
    <row r="18" spans="1:18" x14ac:dyDescent="0.25">
      <c r="A18" s="9" t="s">
        <v>90</v>
      </c>
      <c r="B18" s="9" t="s">
        <v>85</v>
      </c>
      <c r="C18" s="1" t="s">
        <v>36</v>
      </c>
      <c r="D18" s="1" t="s">
        <v>26</v>
      </c>
      <c r="E18" s="3">
        <f>COUNTIF(Tabelle7.Runde689[[#This Row],[1.Rd]:[7.Rd]],"&gt;399,9")</f>
        <v>3</v>
      </c>
      <c r="F18" s="1">
        <v>3</v>
      </c>
      <c r="G18" s="1">
        <f>COUNT(Tabelle7.Runde689[[#This Row],[1.Rd]:[7.Rd]])</f>
        <v>5</v>
      </c>
      <c r="H18" s="2">
        <v>402.7</v>
      </c>
      <c r="I18" s="1"/>
      <c r="J18" s="6">
        <v>405.8</v>
      </c>
      <c r="K18" s="2">
        <v>398.9</v>
      </c>
      <c r="L18" s="2">
        <v>398.2</v>
      </c>
      <c r="M18" s="2"/>
      <c r="N18" s="2">
        <v>403.1</v>
      </c>
      <c r="O18" s="2">
        <v>407.3</v>
      </c>
      <c r="P18" s="2"/>
      <c r="Q18" s="2">
        <f>AVERAGE(Tabelle7.Runde689[[#This Row],[1.Rd]:[7.Rd]])</f>
        <v>402.65999999999997</v>
      </c>
      <c r="R18" s="4"/>
    </row>
    <row r="19" spans="1:18" x14ac:dyDescent="0.25">
      <c r="A19" s="9" t="s">
        <v>91</v>
      </c>
      <c r="B19" s="9" t="s">
        <v>96</v>
      </c>
      <c r="C19" s="1" t="s">
        <v>76</v>
      </c>
      <c r="D19" s="1" t="s">
        <v>21</v>
      </c>
      <c r="E19" s="3">
        <f>COUNTIF(Tabelle7.Runde689[[#This Row],[1.Rd]:[7.Rd]],"&gt;399,9")</f>
        <v>3</v>
      </c>
      <c r="F19" s="1">
        <v>3</v>
      </c>
      <c r="G19" s="1">
        <f>COUNT(Tabelle7.Runde689[[#This Row],[1.Rd]:[7.Rd]])</f>
        <v>5</v>
      </c>
      <c r="H19" s="6">
        <v>399.6</v>
      </c>
      <c r="I19" s="1"/>
      <c r="J19" s="6">
        <v>395.1</v>
      </c>
      <c r="K19" s="2"/>
      <c r="L19" s="2"/>
      <c r="M19" s="2">
        <v>401.9</v>
      </c>
      <c r="N19" s="2">
        <v>404.1</v>
      </c>
      <c r="O19" s="2">
        <v>400.1</v>
      </c>
      <c r="P19" s="2">
        <v>396.7</v>
      </c>
      <c r="Q19" s="2">
        <f>AVERAGE(Tabelle7.Runde689[[#This Row],[1.Rd]:[7.Rd]])</f>
        <v>399.58</v>
      </c>
      <c r="R19" s="4"/>
    </row>
    <row r="20" spans="1:18" x14ac:dyDescent="0.25">
      <c r="A20" s="9" t="s">
        <v>92</v>
      </c>
      <c r="B20" s="9" t="s">
        <v>87</v>
      </c>
      <c r="C20" s="1" t="s">
        <v>31</v>
      </c>
      <c r="D20" s="1" t="s">
        <v>24</v>
      </c>
      <c r="E20" s="3">
        <f>COUNTIF(Tabelle7.Runde689[[#This Row],[1.Rd]:[7.Rd]],"&gt;399,9")</f>
        <v>0</v>
      </c>
      <c r="F20" s="1">
        <v>3</v>
      </c>
      <c r="G20" s="1">
        <f>COUNT(Tabelle7.Runde689[[#This Row],[1.Rd]:[7.Rd]])</f>
        <v>5</v>
      </c>
      <c r="H20" s="6">
        <v>388.6</v>
      </c>
      <c r="I20" s="1"/>
      <c r="J20" s="6">
        <v>380.4</v>
      </c>
      <c r="K20" s="2"/>
      <c r="L20" s="2"/>
      <c r="M20" s="2">
        <v>389.9</v>
      </c>
      <c r="N20" s="2">
        <v>390.8</v>
      </c>
      <c r="O20" s="2">
        <v>392.9</v>
      </c>
      <c r="P20" s="2">
        <v>389.1</v>
      </c>
      <c r="Q20" s="2">
        <f>AVERAGE(Tabelle7.Runde689[[#This Row],[1.Rd]:[7.Rd]])</f>
        <v>388.62</v>
      </c>
      <c r="R20" s="4"/>
    </row>
    <row r="21" spans="1:18" x14ac:dyDescent="0.25">
      <c r="A21" s="9" t="s">
        <v>93</v>
      </c>
      <c r="B21" s="9" t="s">
        <v>88</v>
      </c>
      <c r="C21" s="1" t="s">
        <v>66</v>
      </c>
      <c r="D21" s="1" t="s">
        <v>23</v>
      </c>
      <c r="E21" s="3">
        <f>COUNTIF(Tabelle7.Runde689[[#This Row],[1.Rd]:[7.Rd]],"&gt;399,9")</f>
        <v>4</v>
      </c>
      <c r="F21" s="1">
        <v>3</v>
      </c>
      <c r="G21" s="1">
        <f>COUNT(Tabelle7.Runde689[[#This Row],[1.Rd]:[7.Rd]])</f>
        <v>4</v>
      </c>
      <c r="H21" s="2">
        <v>404.3</v>
      </c>
      <c r="I21" s="1"/>
      <c r="J21" s="2"/>
      <c r="K21" s="2">
        <v>407.2</v>
      </c>
      <c r="L21" s="2">
        <v>403.6</v>
      </c>
      <c r="M21" s="2">
        <v>402.1</v>
      </c>
      <c r="N21" s="2"/>
      <c r="O21" s="2"/>
      <c r="P21" s="2">
        <v>404.3</v>
      </c>
      <c r="Q21" s="2">
        <f>AVERAGE(Tabelle7.Runde689[[#This Row],[1.Rd]:[7.Rd]])</f>
        <v>404.3</v>
      </c>
      <c r="R21" s="4"/>
    </row>
    <row r="22" spans="1:18" x14ac:dyDescent="0.25">
      <c r="A22" s="9" t="s">
        <v>94</v>
      </c>
      <c r="B22" s="9" t="s">
        <v>89</v>
      </c>
      <c r="C22" s="1" t="s">
        <v>65</v>
      </c>
      <c r="D22" s="1" t="s">
        <v>27</v>
      </c>
      <c r="E22" s="3">
        <f>COUNTIF(Tabelle7.Runde689[[#This Row],[1.Rd]:[7.Rd]],"&gt;399,9")</f>
        <v>0</v>
      </c>
      <c r="F22" s="1">
        <v>3</v>
      </c>
      <c r="G22" s="1">
        <f>COUNT(Tabelle7.Runde689[[#This Row],[1.Rd]:[7.Rd]])</f>
        <v>3</v>
      </c>
      <c r="H22" s="2">
        <v>395.1</v>
      </c>
      <c r="I22" s="1"/>
      <c r="J22" s="2"/>
      <c r="K22" s="2">
        <v>392</v>
      </c>
      <c r="L22" s="2">
        <v>398.7</v>
      </c>
      <c r="M22" s="2">
        <v>394.5</v>
      </c>
      <c r="N22" s="2"/>
      <c r="O22" s="2"/>
      <c r="P22" s="2"/>
      <c r="Q22" s="2">
        <f>AVERAGE(Tabelle7.Runde689[[#This Row],[1.Rd]:[7.Rd]])</f>
        <v>395.06666666666666</v>
      </c>
      <c r="R22" s="4"/>
    </row>
    <row r="23" spans="1:18" x14ac:dyDescent="0.25">
      <c r="A23" s="9" t="s">
        <v>95</v>
      </c>
      <c r="B23" s="9" t="s">
        <v>100</v>
      </c>
      <c r="C23" s="1" t="s">
        <v>47</v>
      </c>
      <c r="D23" s="1" t="s">
        <v>22</v>
      </c>
      <c r="E23" s="3">
        <f>COUNTIF(Tabelle7.Runde689[[#This Row],[1.Rd]:[7.Rd]],"&gt;399,9")</f>
        <v>0</v>
      </c>
      <c r="F23" s="1">
        <v>2</v>
      </c>
      <c r="G23" s="1">
        <f>COUNT(Tabelle7.Runde689[[#This Row],[1.Rd]:[7.Rd]])</f>
        <v>7</v>
      </c>
      <c r="H23" s="2">
        <v>381.3</v>
      </c>
      <c r="I23" s="1"/>
      <c r="J23" s="6">
        <v>375.7</v>
      </c>
      <c r="K23" s="2">
        <v>377.4</v>
      </c>
      <c r="L23" s="2">
        <v>392.6</v>
      </c>
      <c r="M23" s="2">
        <v>385.5</v>
      </c>
      <c r="N23" s="2">
        <v>376.1</v>
      </c>
      <c r="O23" s="2">
        <v>376.7</v>
      </c>
      <c r="P23" s="2">
        <v>385.3</v>
      </c>
      <c r="Q23" s="2">
        <f>AVERAGE(Tabelle7.Runde689[[#This Row],[1.Rd]:[7.Rd]])</f>
        <v>381.32857142857137</v>
      </c>
      <c r="R23" s="4"/>
    </row>
    <row r="24" spans="1:18" x14ac:dyDescent="0.25">
      <c r="A24" s="9" t="s">
        <v>96</v>
      </c>
      <c r="B24" s="9" t="s">
        <v>94</v>
      </c>
      <c r="C24" s="1" t="s">
        <v>44</v>
      </c>
      <c r="D24" s="1" t="s">
        <v>27</v>
      </c>
      <c r="E24" s="3">
        <f>COUNTIF(Tabelle7.Runde689[[#This Row],[1.Rd]:[7.Rd]],"&gt;399,9")</f>
        <v>1</v>
      </c>
      <c r="F24" s="1">
        <v>2</v>
      </c>
      <c r="G24" s="1">
        <f>COUNT(Tabelle7.Runde689[[#This Row],[1.Rd]:[7.Rd]])</f>
        <v>6</v>
      </c>
      <c r="H24" s="2">
        <v>397.3</v>
      </c>
      <c r="I24" s="1"/>
      <c r="J24" s="6">
        <v>401.1</v>
      </c>
      <c r="K24" s="2">
        <v>395.7</v>
      </c>
      <c r="L24" s="2">
        <v>399.5</v>
      </c>
      <c r="M24" s="2"/>
      <c r="N24" s="2">
        <v>394.5</v>
      </c>
      <c r="O24" s="2">
        <v>397</v>
      </c>
      <c r="P24" s="2">
        <v>396</v>
      </c>
      <c r="Q24" s="2">
        <f>AVERAGE(Tabelle7.Runde689[[#This Row],[1.Rd]:[7.Rd]])</f>
        <v>397.3</v>
      </c>
      <c r="R24" s="4"/>
    </row>
    <row r="25" spans="1:18" x14ac:dyDescent="0.25">
      <c r="A25" s="9" t="s">
        <v>97</v>
      </c>
      <c r="B25" s="9" t="s">
        <v>93</v>
      </c>
      <c r="C25" s="1" t="s">
        <v>67</v>
      </c>
      <c r="D25" s="1" t="s">
        <v>29</v>
      </c>
      <c r="E25" s="3">
        <f>COUNTIF(Tabelle7.Runde689[[#This Row],[1.Rd]:[7.Rd]],"&gt;399,9")</f>
        <v>3</v>
      </c>
      <c r="F25" s="1">
        <v>2</v>
      </c>
      <c r="G25" s="1">
        <f>COUNT(Tabelle7.Runde689[[#This Row],[1.Rd]:[7.Rd]])</f>
        <v>5</v>
      </c>
      <c r="H25" s="2">
        <v>401.8</v>
      </c>
      <c r="I25" s="1"/>
      <c r="J25" s="2"/>
      <c r="K25" s="2">
        <v>405.3</v>
      </c>
      <c r="L25" s="2">
        <v>405.3</v>
      </c>
      <c r="M25" s="2">
        <v>397.8</v>
      </c>
      <c r="N25" s="2">
        <v>397</v>
      </c>
      <c r="O25" s="2">
        <v>403.7</v>
      </c>
      <c r="P25" s="2"/>
      <c r="Q25" s="2">
        <f>AVERAGE(Tabelle7.Runde689[[#This Row],[1.Rd]:[7.Rd]])</f>
        <v>401.82000000000005</v>
      </c>
      <c r="R25" s="4"/>
    </row>
    <row r="26" spans="1:18" x14ac:dyDescent="0.25">
      <c r="A26" s="9" t="s">
        <v>98</v>
      </c>
      <c r="B26" s="9" t="s">
        <v>97</v>
      </c>
      <c r="C26" s="1" t="s">
        <v>43</v>
      </c>
      <c r="D26" s="1" t="s">
        <v>27</v>
      </c>
      <c r="E26" s="3">
        <f>COUNTIF(Tabelle7.Runde689[[#This Row],[1.Rd]:[7.Rd]],"&gt;399,9")</f>
        <v>2</v>
      </c>
      <c r="F26" s="1">
        <v>2</v>
      </c>
      <c r="G26" s="1">
        <f>COUNT(Tabelle7.Runde689[[#This Row],[1.Rd]:[7.Rd]])</f>
        <v>5</v>
      </c>
      <c r="H26" s="6">
        <v>398.1</v>
      </c>
      <c r="I26" s="1"/>
      <c r="J26" s="6">
        <v>408.2</v>
      </c>
      <c r="K26" s="2"/>
      <c r="L26" s="2"/>
      <c r="M26" s="2">
        <v>396</v>
      </c>
      <c r="N26" s="2">
        <v>390.1</v>
      </c>
      <c r="O26" s="2">
        <v>401.6</v>
      </c>
      <c r="P26" s="2">
        <v>394.4</v>
      </c>
      <c r="Q26" s="2">
        <f>AVERAGE(Tabelle7.Runde689[[#This Row],[1.Rd]:[7.Rd]])</f>
        <v>398.06000000000006</v>
      </c>
      <c r="R26" s="4"/>
    </row>
    <row r="27" spans="1:18" x14ac:dyDescent="0.25">
      <c r="A27" s="9" t="s">
        <v>99</v>
      </c>
      <c r="B27" s="9" t="s">
        <v>102</v>
      </c>
      <c r="C27" s="1" t="s">
        <v>60</v>
      </c>
      <c r="D27" s="1" t="s">
        <v>22</v>
      </c>
      <c r="E27" s="3">
        <f>COUNTIF(Tabelle7.Runde689[[#This Row],[1.Rd]:[7.Rd]],"&gt;399,9")</f>
        <v>0</v>
      </c>
      <c r="F27" s="1">
        <v>2</v>
      </c>
      <c r="G27" s="1">
        <f>COUNT(Tabelle7.Runde689[[#This Row],[1.Rd]:[7.Rd]])</f>
        <v>5</v>
      </c>
      <c r="H27" s="2">
        <v>382.8</v>
      </c>
      <c r="I27" s="1"/>
      <c r="J27" s="2"/>
      <c r="K27" s="2">
        <v>378.9</v>
      </c>
      <c r="L27" s="2">
        <v>392.8</v>
      </c>
      <c r="M27" s="2"/>
      <c r="N27" s="2">
        <v>380.8</v>
      </c>
      <c r="O27" s="2">
        <v>376.7</v>
      </c>
      <c r="P27" s="2">
        <v>384.8</v>
      </c>
      <c r="Q27" s="2">
        <f>AVERAGE(Tabelle7.Runde689[[#This Row],[1.Rd]:[7.Rd]])</f>
        <v>382.8</v>
      </c>
      <c r="R27" s="4"/>
    </row>
    <row r="28" spans="1:18" x14ac:dyDescent="0.25">
      <c r="A28" s="9" t="s">
        <v>100</v>
      </c>
      <c r="B28" s="9" t="s">
        <v>98</v>
      </c>
      <c r="C28" s="1" t="s">
        <v>75</v>
      </c>
      <c r="D28" s="1" t="s">
        <v>25</v>
      </c>
      <c r="E28" s="3">
        <f>COUNTIF(Tabelle7.Runde689[[#This Row],[1.Rd]:[7.Rd]],"&gt;399,9")</f>
        <v>1</v>
      </c>
      <c r="F28" s="1">
        <v>2</v>
      </c>
      <c r="G28" s="1">
        <f>COUNT(Tabelle7.Runde689[[#This Row],[1.Rd]:[7.Rd]])</f>
        <v>4</v>
      </c>
      <c r="H28" s="2">
        <v>394.6</v>
      </c>
      <c r="I28" s="1"/>
      <c r="J28" s="6">
        <v>401.2</v>
      </c>
      <c r="K28" s="2">
        <v>388.5</v>
      </c>
      <c r="L28" s="2">
        <v>394.5</v>
      </c>
      <c r="M28" s="2"/>
      <c r="N28" s="2">
        <v>394.2</v>
      </c>
      <c r="O28" s="2"/>
      <c r="P28" s="2"/>
      <c r="Q28" s="2">
        <f>AVERAGE(Tabelle7.Runde689[[#This Row],[1.Rd]:[7.Rd]])</f>
        <v>394.6</v>
      </c>
      <c r="R28" s="4"/>
    </row>
    <row r="29" spans="1:18" x14ac:dyDescent="0.25">
      <c r="A29" s="9" t="s">
        <v>101</v>
      </c>
      <c r="B29" s="9" t="s">
        <v>99</v>
      </c>
      <c r="C29" s="1" t="s">
        <v>63</v>
      </c>
      <c r="D29" s="1" t="s">
        <v>24</v>
      </c>
      <c r="E29" s="3">
        <f>COUNTIF(Tabelle7.Runde689[[#This Row],[1.Rd]:[7.Rd]],"&gt;399,9")</f>
        <v>2</v>
      </c>
      <c r="F29" s="1">
        <v>2</v>
      </c>
      <c r="G29" s="1">
        <f>COUNT(Tabelle7.Runde689[[#This Row],[1.Rd]:[7.Rd]])</f>
        <v>2</v>
      </c>
      <c r="H29" s="2">
        <v>416.9</v>
      </c>
      <c r="I29" s="1"/>
      <c r="J29" s="2"/>
      <c r="K29" s="2">
        <v>416.9</v>
      </c>
      <c r="L29" s="2">
        <v>416.9</v>
      </c>
      <c r="M29" s="2"/>
      <c r="N29" s="2"/>
      <c r="O29" s="2"/>
      <c r="P29" s="2"/>
      <c r="Q29" s="2">
        <f>AVERAGE(Tabelle7.Runde689[[#This Row],[1.Rd]:[7.Rd]])</f>
        <v>416.9</v>
      </c>
      <c r="R29" s="4"/>
    </row>
    <row r="30" spans="1:18" x14ac:dyDescent="0.25">
      <c r="A30" s="9" t="s">
        <v>102</v>
      </c>
      <c r="B30" s="9" t="s">
        <v>101</v>
      </c>
      <c r="C30" s="1" t="s">
        <v>56</v>
      </c>
      <c r="D30" s="1" t="s">
        <v>20</v>
      </c>
      <c r="E30" s="3">
        <f>COUNTIF(Tabelle7.Runde689[[#This Row],[1.Rd]:[7.Rd]],"&gt;399,9")</f>
        <v>0</v>
      </c>
      <c r="F30" s="1">
        <v>1</v>
      </c>
      <c r="G30" s="1">
        <f>COUNT(Tabelle7.Runde689[[#This Row],[1.Rd]:[7.Rd]])</f>
        <v>6</v>
      </c>
      <c r="H30" s="2">
        <v>391.7</v>
      </c>
      <c r="I30" s="1"/>
      <c r="J30" s="6">
        <v>392.3</v>
      </c>
      <c r="K30" s="2">
        <v>398.8</v>
      </c>
      <c r="L30" s="2">
        <v>390</v>
      </c>
      <c r="M30" s="2">
        <v>391.8</v>
      </c>
      <c r="N30" s="2"/>
      <c r="O30" s="2">
        <v>381.4</v>
      </c>
      <c r="P30" s="2">
        <v>396.1</v>
      </c>
      <c r="Q30" s="2">
        <f>AVERAGE(Tabelle7.Runde689[[#This Row],[1.Rd]:[7.Rd]])</f>
        <v>391.73333333333329</v>
      </c>
      <c r="R30" s="4"/>
    </row>
    <row r="31" spans="1:18" x14ac:dyDescent="0.25">
      <c r="A31" s="9" t="s">
        <v>103</v>
      </c>
      <c r="B31" s="9" t="s">
        <v>103</v>
      </c>
      <c r="C31" s="1" t="s">
        <v>64</v>
      </c>
      <c r="D31" s="1" t="s">
        <v>24</v>
      </c>
      <c r="E31" s="3">
        <f>COUNTIF(Tabelle7.Runde689[[#This Row],[1.Rd]:[7.Rd]],"&gt;399,9")</f>
        <v>0</v>
      </c>
      <c r="F31" s="1">
        <v>1</v>
      </c>
      <c r="G31" s="1">
        <f>COUNT(Tabelle7.Runde689[[#This Row],[1.Rd]:[7.Rd]])</f>
        <v>5</v>
      </c>
      <c r="H31" s="2">
        <v>377.9</v>
      </c>
      <c r="I31" s="1"/>
      <c r="J31" s="2"/>
      <c r="K31" s="2">
        <v>382</v>
      </c>
      <c r="L31" s="2">
        <v>389.4</v>
      </c>
      <c r="M31" s="2"/>
      <c r="N31" s="2">
        <v>374.7</v>
      </c>
      <c r="O31" s="2">
        <v>370.3</v>
      </c>
      <c r="P31" s="2">
        <v>373.1</v>
      </c>
      <c r="Q31" s="2">
        <f>AVERAGE(Tabelle7.Runde689[[#This Row],[1.Rd]:[7.Rd]])</f>
        <v>377.9</v>
      </c>
      <c r="R31" s="4"/>
    </row>
    <row r="32" spans="1:18" x14ac:dyDescent="0.25">
      <c r="A32" s="9" t="s">
        <v>104</v>
      </c>
      <c r="B32" s="9" t="s">
        <v>104</v>
      </c>
      <c r="C32" s="1" t="s">
        <v>32</v>
      </c>
      <c r="D32" s="1" t="s">
        <v>24</v>
      </c>
      <c r="E32" s="3">
        <f>COUNTIF(Tabelle7.Runde689[[#This Row],[1.Rd]:[7.Rd]],"&gt;399,9")</f>
        <v>0</v>
      </c>
      <c r="F32" s="1">
        <v>1</v>
      </c>
      <c r="G32" s="1">
        <f>COUNT(Tabelle7.Runde689[[#This Row],[1.Rd]:[7.Rd]])</f>
        <v>1</v>
      </c>
      <c r="H32" s="6">
        <v>398.8</v>
      </c>
      <c r="I32" s="1"/>
      <c r="J32" s="6">
        <v>398.8</v>
      </c>
      <c r="K32" s="2"/>
      <c r="L32" s="2"/>
      <c r="M32" s="2"/>
      <c r="N32" s="2"/>
      <c r="O32" s="2"/>
      <c r="P32" s="2"/>
      <c r="Q32" s="2">
        <f>AVERAGE(Tabelle7.Runde689[[#This Row],[1.Rd]:[7.Rd]])</f>
        <v>398.8</v>
      </c>
      <c r="R32" s="4"/>
    </row>
    <row r="33" spans="1:18" x14ac:dyDescent="0.25">
      <c r="A33" s="9" t="s">
        <v>105</v>
      </c>
      <c r="B33" s="9" t="s">
        <v>105</v>
      </c>
      <c r="C33" s="1" t="s">
        <v>124</v>
      </c>
      <c r="D33" s="1" t="s">
        <v>24</v>
      </c>
      <c r="E33" s="3">
        <f>COUNTIF(Tabelle7.Runde689[[#This Row],[1.Rd]:[7.Rd]],"&gt;399,9")</f>
        <v>0</v>
      </c>
      <c r="F33" s="1">
        <v>1</v>
      </c>
      <c r="G33" s="1">
        <f>COUNT(Tabelle7.Runde689[[#This Row],[1.Rd]:[7.Rd]])</f>
        <v>1</v>
      </c>
      <c r="H33" s="2">
        <v>383.9</v>
      </c>
      <c r="I33" s="1"/>
      <c r="J33" s="2"/>
      <c r="K33" s="2"/>
      <c r="L33" s="2"/>
      <c r="M33" s="2">
        <v>383.9</v>
      </c>
      <c r="N33" s="2"/>
      <c r="O33" s="2"/>
      <c r="P33" s="2"/>
      <c r="Q33" s="2">
        <f>AVERAGE(Tabelle7.Runde689[[#This Row],[1.Rd]:[7.Rd]])</f>
        <v>383.9</v>
      </c>
      <c r="R33" s="4"/>
    </row>
    <row r="34" spans="1:18" x14ac:dyDescent="0.25">
      <c r="A34" s="9" t="s">
        <v>106</v>
      </c>
      <c r="B34" s="9" t="s">
        <v>126</v>
      </c>
      <c r="C34" s="1" t="s">
        <v>140</v>
      </c>
      <c r="D34" s="1" t="s">
        <v>29</v>
      </c>
      <c r="E34" s="3">
        <f>COUNTIF(Tabelle7.Runde689[[#This Row],[1.Rd]:[7.Rd]],"&gt;399,9")</f>
        <v>0</v>
      </c>
      <c r="F34" s="1">
        <v>1</v>
      </c>
      <c r="G34" s="1">
        <f>COUNT(Tabelle7.Runde689[[#This Row],[1.Rd]:[7.Rd]])</f>
        <v>1</v>
      </c>
      <c r="H34" s="6">
        <v>360.5</v>
      </c>
      <c r="I34" s="1"/>
      <c r="J34" s="6"/>
      <c r="K34" s="2"/>
      <c r="L34" s="2"/>
      <c r="M34" s="2"/>
      <c r="N34" s="2"/>
      <c r="O34" s="2"/>
      <c r="P34" s="2">
        <v>360.5</v>
      </c>
      <c r="Q34" s="2">
        <f>AVERAGE(Tabelle7.Runde689[[#This Row],[1.Rd]:[7.Rd]])</f>
        <v>360.5</v>
      </c>
      <c r="R34" s="4"/>
    </row>
    <row r="35" spans="1:18" x14ac:dyDescent="0.25">
      <c r="A35" s="9" t="s">
        <v>107</v>
      </c>
      <c r="B35" s="9" t="s">
        <v>106</v>
      </c>
      <c r="C35" s="1" t="s">
        <v>33</v>
      </c>
      <c r="D35" s="1" t="s">
        <v>28</v>
      </c>
      <c r="E35" s="3">
        <f>COUNTIF(Tabelle7.Runde689[[#This Row],[1.Rd]:[7.Rd]],"&gt;399,9")</f>
        <v>1</v>
      </c>
      <c r="F35" s="1">
        <v>0</v>
      </c>
      <c r="G35" s="1">
        <f>COUNT(Tabelle7.Runde689[[#This Row],[1.Rd]:[7.Rd]])</f>
        <v>7</v>
      </c>
      <c r="H35" s="2">
        <v>394.3</v>
      </c>
      <c r="I35" s="1"/>
      <c r="J35" s="6">
        <v>400.8</v>
      </c>
      <c r="K35" s="2">
        <v>393.6</v>
      </c>
      <c r="L35" s="2">
        <v>396.5</v>
      </c>
      <c r="M35" s="2">
        <v>395.6</v>
      </c>
      <c r="N35" s="2">
        <v>381.5</v>
      </c>
      <c r="O35" s="2">
        <v>399.7</v>
      </c>
      <c r="P35" s="2">
        <v>392.3</v>
      </c>
      <c r="Q35" s="2">
        <f>AVERAGE(Tabelle7.Runde689[[#This Row],[1.Rd]:[7.Rd]])</f>
        <v>394.28571428571428</v>
      </c>
      <c r="R35" s="4"/>
    </row>
    <row r="36" spans="1:18" x14ac:dyDescent="0.25">
      <c r="A36" s="9" t="s">
        <v>108</v>
      </c>
      <c r="B36" s="9" t="s">
        <v>107</v>
      </c>
      <c r="C36" s="1" t="s">
        <v>58</v>
      </c>
      <c r="D36" s="1" t="s">
        <v>21</v>
      </c>
      <c r="E36" s="3">
        <f>COUNTIF(Tabelle7.Runde689[[#This Row],[1.Rd]:[7.Rd]],"&gt;399,9")</f>
        <v>0</v>
      </c>
      <c r="F36" s="1">
        <v>0</v>
      </c>
      <c r="G36" s="1">
        <f>COUNT(Tabelle7.Runde689[[#This Row],[1.Rd]:[7.Rd]])</f>
        <v>6</v>
      </c>
      <c r="H36" s="2">
        <v>384.3</v>
      </c>
      <c r="I36" s="1"/>
      <c r="J36" s="6">
        <v>381.5</v>
      </c>
      <c r="K36" s="2">
        <v>390.3</v>
      </c>
      <c r="L36" s="2">
        <v>377.2</v>
      </c>
      <c r="M36" s="2">
        <v>383.1</v>
      </c>
      <c r="N36" s="2">
        <v>387.5</v>
      </c>
      <c r="O36" s="2">
        <v>386.4</v>
      </c>
      <c r="P36" s="2"/>
      <c r="Q36" s="2">
        <f>AVERAGE(Tabelle7.Runde689[[#This Row],[1.Rd]:[7.Rd]])</f>
        <v>384.33333333333331</v>
      </c>
      <c r="R36" s="4"/>
    </row>
    <row r="37" spans="1:18" x14ac:dyDescent="0.25">
      <c r="A37" s="9" t="s">
        <v>109</v>
      </c>
      <c r="B37" s="9" t="s">
        <v>108</v>
      </c>
      <c r="C37" s="1" t="s">
        <v>61</v>
      </c>
      <c r="D37" s="1" t="s">
        <v>25</v>
      </c>
      <c r="E37" s="3">
        <f>COUNTIF(Tabelle7.Runde689[[#This Row],[1.Rd]:[7.Rd]],"&gt;399,9")</f>
        <v>0</v>
      </c>
      <c r="F37" s="1">
        <v>0</v>
      </c>
      <c r="G37" s="1">
        <f>COUNT(Tabelle7.Runde689[[#This Row],[1.Rd]:[7.Rd]])</f>
        <v>6</v>
      </c>
      <c r="H37" s="2">
        <v>380.9</v>
      </c>
      <c r="I37" s="1"/>
      <c r="J37" s="2"/>
      <c r="K37" s="2">
        <v>377.1</v>
      </c>
      <c r="L37" s="2">
        <v>373.8</v>
      </c>
      <c r="M37" s="2">
        <v>382</v>
      </c>
      <c r="N37" s="2">
        <v>380.1</v>
      </c>
      <c r="O37" s="2">
        <v>385.8</v>
      </c>
      <c r="P37" s="2">
        <v>386.8</v>
      </c>
      <c r="Q37" s="2">
        <f>AVERAGE(Tabelle7.Runde689[[#This Row],[1.Rd]:[7.Rd]])</f>
        <v>380.93333333333334</v>
      </c>
      <c r="R37" s="4"/>
    </row>
    <row r="38" spans="1:18" x14ac:dyDescent="0.25">
      <c r="A38" s="9" t="s">
        <v>110</v>
      </c>
      <c r="B38" s="9" t="s">
        <v>110</v>
      </c>
      <c r="C38" s="1" t="s">
        <v>45</v>
      </c>
      <c r="D38" s="1" t="s">
        <v>22</v>
      </c>
      <c r="E38" s="3">
        <f>COUNTIF(Tabelle7.Runde689[[#This Row],[1.Rd]:[7.Rd]],"&gt;399,9")</f>
        <v>0</v>
      </c>
      <c r="F38" s="1">
        <v>0</v>
      </c>
      <c r="G38" s="1">
        <f>COUNT(Tabelle7.Runde689[[#This Row],[1.Rd]:[7.Rd]])</f>
        <v>5</v>
      </c>
      <c r="H38" s="6">
        <v>386.9</v>
      </c>
      <c r="I38" s="1"/>
      <c r="J38" s="6">
        <v>385.8</v>
      </c>
      <c r="K38" s="2"/>
      <c r="L38" s="2"/>
      <c r="M38" s="2">
        <v>386.3</v>
      </c>
      <c r="N38" s="2">
        <v>391.1</v>
      </c>
      <c r="O38" s="2">
        <v>384.4</v>
      </c>
      <c r="P38" s="2">
        <v>387</v>
      </c>
      <c r="Q38" s="2">
        <f>AVERAGE(Tabelle7.Runde689[[#This Row],[1.Rd]:[7.Rd]])</f>
        <v>386.91999999999996</v>
      </c>
      <c r="R38" s="4"/>
    </row>
    <row r="39" spans="1:18" x14ac:dyDescent="0.25">
      <c r="A39" s="9" t="s">
        <v>111</v>
      </c>
      <c r="B39" s="9" t="s">
        <v>111</v>
      </c>
      <c r="C39" s="1" t="s">
        <v>62</v>
      </c>
      <c r="D39" s="1" t="s">
        <v>21</v>
      </c>
      <c r="E39" s="3">
        <f>COUNTIF(Tabelle7.Runde689[[#This Row],[1.Rd]:[7.Rd]],"&gt;399,9")</f>
        <v>0</v>
      </c>
      <c r="F39" s="1">
        <v>0</v>
      </c>
      <c r="G39" s="1">
        <f>COUNT(Tabelle7.Runde689[[#This Row],[1.Rd]:[7.Rd]])</f>
        <v>5</v>
      </c>
      <c r="H39" s="2">
        <v>370.8</v>
      </c>
      <c r="I39" s="1"/>
      <c r="J39" s="2"/>
      <c r="K39" s="2">
        <v>381.8</v>
      </c>
      <c r="L39" s="2">
        <v>366.8</v>
      </c>
      <c r="M39" s="2"/>
      <c r="N39" s="2">
        <v>363.2</v>
      </c>
      <c r="O39" s="2">
        <v>371.1</v>
      </c>
      <c r="P39" s="2">
        <v>371</v>
      </c>
      <c r="Q39" s="2">
        <f>AVERAGE(Tabelle7.Runde689[[#This Row],[1.Rd]:[7.Rd]])</f>
        <v>370.78000000000003</v>
      </c>
      <c r="R39" s="4"/>
    </row>
    <row r="40" spans="1:18" x14ac:dyDescent="0.25">
      <c r="A40" s="9" t="s">
        <v>112</v>
      </c>
      <c r="B40" s="9" t="s">
        <v>109</v>
      </c>
      <c r="C40" s="1" t="s">
        <v>46</v>
      </c>
      <c r="D40" s="1" t="s">
        <v>22</v>
      </c>
      <c r="E40" s="3">
        <f>COUNTIF(Tabelle7.Runde689[[#This Row],[1.Rd]:[7.Rd]],"&gt;399,9")</f>
        <v>0</v>
      </c>
      <c r="F40" s="1">
        <v>0</v>
      </c>
      <c r="G40" s="1">
        <f>COUNT(Tabelle7.Runde689[[#This Row],[1.Rd]:[7.Rd]])</f>
        <v>4</v>
      </c>
      <c r="H40" s="2">
        <v>388.3</v>
      </c>
      <c r="I40" s="1"/>
      <c r="J40" s="6">
        <v>394.2</v>
      </c>
      <c r="K40" s="2">
        <v>389.4</v>
      </c>
      <c r="L40" s="2">
        <v>388.5</v>
      </c>
      <c r="M40" s="2">
        <v>381</v>
      </c>
      <c r="N40" s="2"/>
      <c r="O40" s="2"/>
      <c r="P40" s="2"/>
      <c r="Q40" s="2">
        <f>AVERAGE(Tabelle7.Runde689[[#This Row],[1.Rd]:[7.Rd]])</f>
        <v>388.27499999999998</v>
      </c>
      <c r="R40" s="4"/>
    </row>
    <row r="41" spans="1:18" x14ac:dyDescent="0.25">
      <c r="A41" s="9" t="s">
        <v>118</v>
      </c>
      <c r="B41" s="9" t="s">
        <v>112</v>
      </c>
      <c r="C41" s="1" t="s">
        <v>69</v>
      </c>
      <c r="D41" s="1" t="s">
        <v>20</v>
      </c>
      <c r="E41" s="3">
        <f>COUNTIF(Tabelle7.Runde689[[#This Row],[1.Rd]:[7.Rd]],"&gt;399,9")</f>
        <v>0</v>
      </c>
      <c r="F41" s="1">
        <v>0</v>
      </c>
      <c r="G41" s="1">
        <f>COUNT(Tabelle7.Runde689[[#This Row],[1.Rd]:[7.Rd]])</f>
        <v>4</v>
      </c>
      <c r="H41" s="2">
        <v>379.5</v>
      </c>
      <c r="I41" s="1"/>
      <c r="J41" s="2"/>
      <c r="K41" s="2"/>
      <c r="L41" s="2">
        <v>375.1</v>
      </c>
      <c r="M41" s="2"/>
      <c r="N41" s="2">
        <v>379.1</v>
      </c>
      <c r="O41" s="2">
        <v>379.6</v>
      </c>
      <c r="P41" s="2">
        <v>384.3</v>
      </c>
      <c r="Q41" s="2">
        <f>AVERAGE(Tabelle7.Runde689[[#This Row],[1.Rd]:[7.Rd]])</f>
        <v>379.52500000000003</v>
      </c>
      <c r="R41" s="4"/>
    </row>
    <row r="42" spans="1:18" x14ac:dyDescent="0.25">
      <c r="A42" s="9" t="s">
        <v>119</v>
      </c>
      <c r="B42" s="9" t="s">
        <v>118</v>
      </c>
      <c r="C42" s="1" t="s">
        <v>59</v>
      </c>
      <c r="D42" s="1" t="s">
        <v>21</v>
      </c>
      <c r="E42" s="3">
        <f>COUNTIF(Tabelle7.Runde689[[#This Row],[1.Rd]:[7.Rd]],"&gt;399,9")</f>
        <v>0</v>
      </c>
      <c r="F42" s="1">
        <v>0</v>
      </c>
      <c r="G42" s="1">
        <f>COUNT(Tabelle7.Runde689[[#This Row],[1.Rd]:[7.Rd]])</f>
        <v>3</v>
      </c>
      <c r="H42" s="2">
        <v>375.4</v>
      </c>
      <c r="I42" s="1"/>
      <c r="J42" s="6">
        <v>384.3</v>
      </c>
      <c r="K42" s="2">
        <v>370.8</v>
      </c>
      <c r="L42" s="2">
        <v>371.1</v>
      </c>
      <c r="M42" s="2"/>
      <c r="N42" s="2"/>
      <c r="O42" s="2"/>
      <c r="P42" s="2"/>
      <c r="Q42" s="2">
        <f>AVERAGE(Tabelle7.Runde689[[#This Row],[1.Rd]:[7.Rd]])</f>
        <v>375.40000000000003</v>
      </c>
      <c r="R42" s="4"/>
    </row>
    <row r="43" spans="1:18" x14ac:dyDescent="0.25">
      <c r="A43" s="9" t="s">
        <v>120</v>
      </c>
      <c r="B43" s="9" t="s">
        <v>130</v>
      </c>
      <c r="C43" s="1" t="s">
        <v>136</v>
      </c>
      <c r="D43" s="1" t="s">
        <v>25</v>
      </c>
      <c r="E43" s="3">
        <f>COUNTIF(Tabelle7.Runde689[[#This Row],[1.Rd]:[7.Rd]],"&gt;399,9")</f>
        <v>0</v>
      </c>
      <c r="F43" s="1">
        <v>0</v>
      </c>
      <c r="G43" s="1">
        <f>COUNT(Tabelle7.Runde689[[#This Row],[1.Rd]:[7.Rd]])</f>
        <v>2</v>
      </c>
      <c r="H43" s="2">
        <v>383.2</v>
      </c>
      <c r="I43" s="1"/>
      <c r="J43" s="2"/>
      <c r="K43" s="2"/>
      <c r="L43" s="2"/>
      <c r="M43" s="2"/>
      <c r="N43" s="2"/>
      <c r="O43" s="2">
        <v>378.8</v>
      </c>
      <c r="P43" s="2">
        <v>387.6</v>
      </c>
      <c r="Q43" s="2">
        <f>AVERAGE(Tabelle7.Runde689[[#This Row],[1.Rd]:[7.Rd]])</f>
        <v>383.20000000000005</v>
      </c>
    </row>
    <row r="44" spans="1:18" x14ac:dyDescent="0.25">
      <c r="A44" s="9" t="s">
        <v>121</v>
      </c>
      <c r="B44" s="9" t="s">
        <v>128</v>
      </c>
      <c r="C44" s="1" t="s">
        <v>123</v>
      </c>
      <c r="D44" s="1" t="s">
        <v>21</v>
      </c>
      <c r="E44" s="3">
        <f>COUNTIF(Tabelle7.Runde689[[#This Row],[1.Rd]:[7.Rd]],"&gt;399,9")</f>
        <v>0</v>
      </c>
      <c r="F44" s="1">
        <v>0</v>
      </c>
      <c r="G44" s="1">
        <f>COUNT(Tabelle7.Runde689[[#This Row],[1.Rd]:[7.Rd]])</f>
        <v>2</v>
      </c>
      <c r="H44" s="2">
        <v>381.7</v>
      </c>
      <c r="I44" s="1"/>
      <c r="J44" s="2"/>
      <c r="K44" s="2"/>
      <c r="L44" s="2"/>
      <c r="M44" s="2">
        <v>384.7</v>
      </c>
      <c r="N44" s="2"/>
      <c r="O44" s="2"/>
      <c r="P44" s="2">
        <v>378.7</v>
      </c>
      <c r="Q44" s="2">
        <f>AVERAGE(Tabelle7.Runde689[[#This Row],[1.Rd]:[7.Rd]])</f>
        <v>381.7</v>
      </c>
    </row>
    <row r="45" spans="1:18" x14ac:dyDescent="0.25">
      <c r="A45" s="9" t="s">
        <v>128</v>
      </c>
      <c r="B45" s="9" t="s">
        <v>119</v>
      </c>
      <c r="C45" s="1" t="s">
        <v>132</v>
      </c>
      <c r="D45" s="1" t="s">
        <v>23</v>
      </c>
      <c r="E45" s="3">
        <f>COUNTIF(Tabelle7.Runde689[[#This Row],[1.Rd]:[7.Rd]],"&gt;399,9")</f>
        <v>0</v>
      </c>
      <c r="F45" s="1">
        <v>0</v>
      </c>
      <c r="G45" s="1">
        <f>COUNT(Tabelle7.Runde689[[#This Row],[1.Rd]:[7.Rd]])</f>
        <v>2</v>
      </c>
      <c r="H45" s="2">
        <v>369.6</v>
      </c>
      <c r="I45" s="1"/>
      <c r="J45" s="6"/>
      <c r="K45" s="2"/>
      <c r="L45" s="2"/>
      <c r="M45" s="2"/>
      <c r="N45" s="2">
        <v>371.7</v>
      </c>
      <c r="O45" s="2">
        <v>367.5</v>
      </c>
      <c r="P45" s="2"/>
      <c r="Q45" s="2">
        <f>AVERAGE(Tabelle7.Runde689[[#This Row],[1.Rd]:[7.Rd]])</f>
        <v>369.6</v>
      </c>
    </row>
    <row r="46" spans="1:18" x14ac:dyDescent="0.25">
      <c r="A46" s="9" t="s">
        <v>129</v>
      </c>
      <c r="B46" s="9" t="s">
        <v>120</v>
      </c>
      <c r="C46" s="1" t="s">
        <v>127</v>
      </c>
      <c r="D46" s="1" t="s">
        <v>26</v>
      </c>
      <c r="E46" s="3">
        <f>COUNTIF(Tabelle7.Runde689[[#This Row],[1.Rd]:[7.Rd]],"&gt;399,9")</f>
        <v>0</v>
      </c>
      <c r="F46" s="1">
        <v>0</v>
      </c>
      <c r="G46" s="1">
        <f>COUNT(Tabelle7.Runde689[[#This Row],[1.Rd]:[7.Rd]])</f>
        <v>1</v>
      </c>
      <c r="H46" s="2">
        <v>393.8</v>
      </c>
      <c r="I46" s="1"/>
      <c r="J46" s="6"/>
      <c r="K46" s="2"/>
      <c r="L46" s="2"/>
      <c r="M46" s="2">
        <v>393.8</v>
      </c>
      <c r="N46" s="2"/>
      <c r="O46" s="2"/>
      <c r="P46" s="2"/>
      <c r="Q46" s="2">
        <f>AVERAGE(Tabelle7.Runde689[[#This Row],[1.Rd]:[7.Rd]])</f>
        <v>393.8</v>
      </c>
    </row>
    <row r="47" spans="1:18" x14ac:dyDescent="0.25">
      <c r="A47" s="9" t="s">
        <v>130</v>
      </c>
      <c r="B47" s="9" t="s">
        <v>121</v>
      </c>
      <c r="C47" s="1" t="s">
        <v>49</v>
      </c>
      <c r="D47" s="1" t="s">
        <v>29</v>
      </c>
      <c r="E47" s="3">
        <f>COUNTIF(Tabelle7.Runde689[[#This Row],[1.Rd]:[7.Rd]],"&gt;399,9")</f>
        <v>0</v>
      </c>
      <c r="F47" s="1">
        <v>0</v>
      </c>
      <c r="G47" s="1">
        <f>COUNT(Tabelle7.Runde689[[#This Row],[1.Rd]:[7.Rd]])</f>
        <v>1</v>
      </c>
      <c r="H47" s="6">
        <v>391.3</v>
      </c>
      <c r="I47" s="1"/>
      <c r="J47" s="6">
        <v>391.3</v>
      </c>
      <c r="K47" s="2"/>
      <c r="L47" s="2"/>
      <c r="M47" s="2"/>
      <c r="N47" s="2"/>
      <c r="O47" s="2"/>
      <c r="P47" s="2"/>
      <c r="Q47" s="2">
        <f>AVERAGE(Tabelle7.Runde689[[#This Row],[1.Rd]:[7.Rd]])</f>
        <v>391.3</v>
      </c>
    </row>
    <row r="48" spans="1:18" x14ac:dyDescent="0.25">
      <c r="A48" s="9" t="s">
        <v>131</v>
      </c>
      <c r="B48" s="9" t="s">
        <v>129</v>
      </c>
      <c r="C48" s="1" t="s">
        <v>125</v>
      </c>
      <c r="D48" s="1" t="s">
        <v>25</v>
      </c>
      <c r="E48" s="3">
        <f>COUNTIF(Tabelle7.Runde689[[#This Row],[1.Rd]:[7.Rd]],"&gt;399,9")</f>
        <v>0</v>
      </c>
      <c r="F48" s="1">
        <v>0</v>
      </c>
      <c r="G48" s="1">
        <f>COUNT(Tabelle7.Runde689[[#This Row],[1.Rd]:[7.Rd]])</f>
        <v>1</v>
      </c>
      <c r="H48" s="2">
        <v>380.7</v>
      </c>
      <c r="I48" s="1"/>
      <c r="J48" s="2"/>
      <c r="K48" s="2"/>
      <c r="L48" s="2"/>
      <c r="M48" s="2">
        <v>380.7</v>
      </c>
      <c r="N48" s="2"/>
      <c r="O48" s="2"/>
      <c r="P48" s="2"/>
      <c r="Q48" s="2">
        <f>AVERAGE(Tabelle7.Runde689[[#This Row],[1.Rd]:[7.Rd]])</f>
        <v>380.7</v>
      </c>
    </row>
    <row r="49" spans="1:17" x14ac:dyDescent="0.25">
      <c r="A49" s="9" t="s">
        <v>134</v>
      </c>
      <c r="B49" s="9" t="s">
        <v>126</v>
      </c>
      <c r="C49" s="1" t="s">
        <v>138</v>
      </c>
      <c r="D49" s="1" t="s">
        <v>26</v>
      </c>
      <c r="E49" s="3">
        <f>COUNTIF(Tabelle7.Runde689[[#This Row],[1.Rd]:[7.Rd]],"&gt;399,9")</f>
        <v>0</v>
      </c>
      <c r="F49" s="1">
        <v>0</v>
      </c>
      <c r="G49" s="1">
        <f>COUNT(Tabelle7.Runde689[[#This Row],[1.Rd]:[7.Rd]])</f>
        <v>1</v>
      </c>
      <c r="H49" s="6">
        <v>378.6</v>
      </c>
      <c r="I49" s="1"/>
      <c r="J49" s="6"/>
      <c r="K49" s="2"/>
      <c r="L49" s="2"/>
      <c r="M49" s="2"/>
      <c r="N49" s="2"/>
      <c r="O49" s="2"/>
      <c r="P49" s="2">
        <v>378.6</v>
      </c>
      <c r="Q49" s="2">
        <f>AVERAGE(Tabelle7.Runde689[[#This Row],[1.Rd]:[7.Rd]])</f>
        <v>378.6</v>
      </c>
    </row>
    <row r="50" spans="1:17" x14ac:dyDescent="0.25">
      <c r="A50" s="9" t="s">
        <v>137</v>
      </c>
      <c r="B50" s="9" t="s">
        <v>131</v>
      </c>
      <c r="C50" s="1" t="s">
        <v>53</v>
      </c>
      <c r="D50" s="1" t="s">
        <v>25</v>
      </c>
      <c r="E50" s="3">
        <f>COUNTIF(Tabelle7.Runde689[[#This Row],[1.Rd]:[7.Rd]],"&gt;399,9")</f>
        <v>0</v>
      </c>
      <c r="F50" s="1">
        <v>0</v>
      </c>
      <c r="G50" s="1">
        <f>COUNT(Tabelle7.Runde689[[#This Row],[1.Rd]:[7.Rd]])</f>
        <v>1</v>
      </c>
      <c r="H50" s="6">
        <v>372.9</v>
      </c>
      <c r="I50" s="1"/>
      <c r="J50" s="6">
        <v>372.9</v>
      </c>
      <c r="K50" s="2"/>
      <c r="L50" s="2"/>
      <c r="M50" s="2"/>
      <c r="N50" s="2"/>
      <c r="O50" s="2"/>
      <c r="P50" s="2"/>
      <c r="Q50" s="2">
        <f>AVERAGE(Tabelle7.Runde689[[#This Row],[1.Rd]:[7.Rd]])</f>
        <v>372.9</v>
      </c>
    </row>
    <row r="51" spans="1:17" x14ac:dyDescent="0.25">
      <c r="A51" s="9" t="s">
        <v>142</v>
      </c>
      <c r="B51" s="9" t="s">
        <v>134</v>
      </c>
      <c r="C51" s="1" t="s">
        <v>50</v>
      </c>
      <c r="D51" s="1" t="s">
        <v>29</v>
      </c>
      <c r="E51" s="3">
        <f>COUNTIF(Tabelle7.Runde689[[#This Row],[1.Rd]:[7.Rd]],"&gt;399,9")</f>
        <v>0</v>
      </c>
      <c r="F51" s="1">
        <v>0</v>
      </c>
      <c r="G51" s="1">
        <f>COUNT(Tabelle7.Runde689[[#This Row],[1.Rd]:[7.Rd]])</f>
        <v>1</v>
      </c>
      <c r="H51" s="6">
        <v>372.6</v>
      </c>
      <c r="I51" s="1"/>
      <c r="J51" s="6">
        <v>372.6</v>
      </c>
      <c r="K51" s="2"/>
      <c r="L51" s="2"/>
      <c r="M51" s="2"/>
      <c r="N51" s="2"/>
      <c r="O51" s="2"/>
      <c r="P51" s="2"/>
      <c r="Q51" s="2">
        <f>AVERAGE(Tabelle7.Runde689[[#This Row],[1.Rd]:[7.Rd]])</f>
        <v>372.6</v>
      </c>
    </row>
    <row r="52" spans="1:17" x14ac:dyDescent="0.25">
      <c r="A52" s="9" t="s">
        <v>143</v>
      </c>
      <c r="B52" s="9" t="s">
        <v>137</v>
      </c>
      <c r="C52" s="1" t="s">
        <v>41</v>
      </c>
      <c r="D52" s="1" t="s">
        <v>23</v>
      </c>
      <c r="E52" s="3">
        <f>COUNTIF(Tabelle7.Runde689[[#This Row],[1.Rd]:[7.Rd]],"&gt;399,9")</f>
        <v>0</v>
      </c>
      <c r="F52" s="1">
        <v>0</v>
      </c>
      <c r="G52" s="1">
        <f>COUNT(Tabelle7.Runde689[[#This Row],[1.Rd]:[7.Rd]])</f>
        <v>1</v>
      </c>
      <c r="H52" s="6">
        <v>362.8</v>
      </c>
      <c r="I52" s="1"/>
      <c r="J52" s="6">
        <v>362.8</v>
      </c>
      <c r="K52" s="2"/>
      <c r="L52" s="2"/>
      <c r="M52" s="2"/>
      <c r="N52" s="2"/>
      <c r="O52" s="2"/>
      <c r="P52" s="2"/>
      <c r="Q52" s="2">
        <f>AVERAGE(Tabelle7.Runde689[[#This Row],[1.Rd]:[7.Rd]])</f>
        <v>362.8</v>
      </c>
    </row>
    <row r="53" spans="1:17" x14ac:dyDescent="0.25">
      <c r="A53" s="9" t="s">
        <v>144</v>
      </c>
      <c r="B53" s="9" t="s">
        <v>126</v>
      </c>
      <c r="C53" s="1" t="s">
        <v>141</v>
      </c>
      <c r="D53" s="1" t="s">
        <v>24</v>
      </c>
      <c r="E53" s="3">
        <f>COUNTIF(Tabelle7.Runde689[[#This Row],[1.Rd]:[7.Rd]],"&gt;399,9")</f>
        <v>0</v>
      </c>
      <c r="F53" s="1">
        <v>0</v>
      </c>
      <c r="G53" s="1">
        <f>COUNT(Tabelle7.Runde689[[#This Row],[1.Rd]:[7.Rd]])</f>
        <v>1</v>
      </c>
      <c r="H53" s="6">
        <v>351.8</v>
      </c>
      <c r="I53" s="1"/>
      <c r="J53" s="6"/>
      <c r="K53" s="2"/>
      <c r="L53" s="2"/>
      <c r="M53" s="2"/>
      <c r="N53" s="2"/>
      <c r="O53" s="2"/>
      <c r="P53" s="2">
        <v>351.8</v>
      </c>
      <c r="Q53" s="2">
        <f>AVERAGE(Tabelle7.Runde689[[#This Row],[1.Rd]:[7.Rd]])</f>
        <v>351.8</v>
      </c>
    </row>
    <row r="54" spans="1:17" x14ac:dyDescent="0.25">
      <c r="A54" s="1" t="s">
        <v>70</v>
      </c>
      <c r="B54" s="1"/>
      <c r="C54" s="1"/>
      <c r="D54" s="1"/>
      <c r="E54" s="1">
        <f>SUBTOTAL(109,Tabelle7.Runde689[400,0])</f>
        <v>42</v>
      </c>
      <c r="F54" s="1"/>
      <c r="G54" s="1"/>
      <c r="H54" s="1"/>
      <c r="I54" s="1"/>
      <c r="J54" s="8">
        <f>SUBTOTAL(103,Tabelle7.Runde689[1.Rd])</f>
        <v>30</v>
      </c>
      <c r="K54" s="1">
        <f>SUBTOTAL(103,Tabelle7.Runde689[2.Rd])</f>
        <v>30</v>
      </c>
      <c r="L54" s="1">
        <f>SUBTOTAL(103,Tabelle7.Runde689[3.Rd])</f>
        <v>30</v>
      </c>
      <c r="M54" s="1">
        <f>SUBTOTAL(103,Tabelle7.Runde689[4.Rd])</f>
        <v>30</v>
      </c>
      <c r="N54" s="1">
        <f>SUBTOTAL(103,Tabelle7.Runde689[5.Rd])</f>
        <v>30</v>
      </c>
      <c r="O54" s="1">
        <f>SUBTOTAL(103,Tabelle7.Runde689[6.Rd])</f>
        <v>30</v>
      </c>
      <c r="P54" s="1">
        <f>SUBTOTAL(103,Tabelle7.Runde689[7.Rd])</f>
        <v>30</v>
      </c>
      <c r="Q54" s="2"/>
    </row>
    <row r="55" spans="1:17" x14ac:dyDescent="0.25">
      <c r="C55" s="1"/>
      <c r="D55" s="1"/>
    </row>
    <row r="56" spans="1:17" x14ac:dyDescent="0.25">
      <c r="C56" s="1"/>
      <c r="D56" s="1"/>
    </row>
    <row r="57" spans="1:17" x14ac:dyDescent="0.25">
      <c r="C57" s="1"/>
      <c r="D57" s="1"/>
    </row>
    <row r="58" spans="1:17" x14ac:dyDescent="0.25">
      <c r="C58" s="1"/>
      <c r="D58" s="1"/>
    </row>
    <row r="59" spans="1:17" x14ac:dyDescent="0.25">
      <c r="C59" s="1"/>
      <c r="D59" s="1"/>
    </row>
    <row r="60" spans="1:17" x14ac:dyDescent="0.25">
      <c r="C60" s="1"/>
      <c r="D60" s="1"/>
    </row>
    <row r="61" spans="1:17" x14ac:dyDescent="0.25">
      <c r="C61" s="1"/>
      <c r="D61" s="1"/>
    </row>
    <row r="62" spans="1:17" x14ac:dyDescent="0.25">
      <c r="C62" s="1"/>
      <c r="D62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5:D53" xr:uid="{902D34F7-AE3A-4C5B-B377-660187BDCB35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C649-B666-40E5-9626-28DD499F2D8A}">
  <dimension ref="A1:S65"/>
  <sheetViews>
    <sheetView zoomScale="75" zoomScaleNormal="75" workbookViewId="0">
      <selection activeCell="Q24" sqref="Q24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6" width="11.7109375" customWidth="1"/>
    <col min="7" max="7" width="11.85546875" customWidth="1"/>
    <col min="8" max="8" width="13" bestFit="1" customWidth="1"/>
    <col min="9" max="9" width="2.5703125" customWidth="1"/>
    <col min="10" max="12" width="10.85546875" bestFit="1" customWidth="1"/>
    <col min="13" max="17" width="10.85546875" customWidth="1"/>
  </cols>
  <sheetData>
    <row r="1" spans="1:1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9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</row>
    <row r="3" spans="1:19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"/>
    </row>
    <row r="4" spans="1:19" x14ac:dyDescent="0.25">
      <c r="A4" t="s">
        <v>3</v>
      </c>
      <c r="B4" t="s">
        <v>4</v>
      </c>
      <c r="C4" s="1" t="s">
        <v>5</v>
      </c>
      <c r="D4" s="1" t="s">
        <v>6</v>
      </c>
      <c r="E4" s="2" t="s">
        <v>74</v>
      </c>
      <c r="F4" s="1" t="s">
        <v>7</v>
      </c>
      <c r="G4" s="1" t="s">
        <v>8</v>
      </c>
      <c r="H4" s="1" t="s">
        <v>9</v>
      </c>
      <c r="I4" s="1" t="s">
        <v>113</v>
      </c>
      <c r="J4" s="1" t="s">
        <v>114</v>
      </c>
      <c r="K4" s="1" t="s">
        <v>115</v>
      </c>
      <c r="L4" s="1" t="s">
        <v>117</v>
      </c>
      <c r="M4" s="1" t="s">
        <v>122</v>
      </c>
      <c r="N4" s="1" t="s">
        <v>133</v>
      </c>
      <c r="O4" s="1" t="s">
        <v>135</v>
      </c>
      <c r="P4" s="1" t="s">
        <v>139</v>
      </c>
      <c r="Q4" s="1" t="s">
        <v>145</v>
      </c>
      <c r="R4" s="1" t="s">
        <v>116</v>
      </c>
    </row>
    <row r="5" spans="1:19" x14ac:dyDescent="0.25">
      <c r="A5" s="9" t="s">
        <v>77</v>
      </c>
      <c r="B5" s="9" t="s">
        <v>77</v>
      </c>
      <c r="C5" s="1" t="s">
        <v>51</v>
      </c>
      <c r="D5" s="1" t="s">
        <v>25</v>
      </c>
      <c r="E5" s="3">
        <f>COUNTIF(Tabelle8.Runde68910[[#This Row],[1.Rd]:[8.Rd]],"&gt;399,9")</f>
        <v>6</v>
      </c>
      <c r="F5" s="1">
        <v>6</v>
      </c>
      <c r="G5" s="1">
        <f>COUNT(Tabelle8.Runde68910[[#This Row],[1.Rd]:[8.Rd]])</f>
        <v>8</v>
      </c>
      <c r="H5" s="2">
        <v>405.2</v>
      </c>
      <c r="I5" s="1"/>
      <c r="J5" s="6">
        <v>409.9</v>
      </c>
      <c r="K5" s="2">
        <v>409.1</v>
      </c>
      <c r="L5" s="2">
        <v>404.4</v>
      </c>
      <c r="M5" s="2">
        <v>406</v>
      </c>
      <c r="N5" s="2">
        <v>406.2</v>
      </c>
      <c r="O5" s="2">
        <v>408.5</v>
      </c>
      <c r="P5" s="2">
        <v>398.6</v>
      </c>
      <c r="Q5" s="2">
        <v>399.2</v>
      </c>
      <c r="R5" s="2">
        <f>AVERAGE(Tabelle8.Runde68910[[#This Row],[1.Rd]:[8.Rd]])</f>
        <v>405.23750000000001</v>
      </c>
      <c r="S5" s="4"/>
    </row>
    <row r="6" spans="1:19" x14ac:dyDescent="0.25">
      <c r="A6" s="9" t="s">
        <v>78</v>
      </c>
      <c r="B6" s="9" t="s">
        <v>81</v>
      </c>
      <c r="C6" s="1" t="s">
        <v>42</v>
      </c>
      <c r="D6" s="1" t="s">
        <v>27</v>
      </c>
      <c r="E6" s="3">
        <f>COUNTIF(Tabelle8.Runde68910[[#This Row],[1.Rd]:[8.Rd]],"&gt;399,9")</f>
        <v>1</v>
      </c>
      <c r="F6" s="1">
        <v>5</v>
      </c>
      <c r="G6" s="1">
        <f>COUNT(Tabelle8.Runde68910[[#This Row],[1.Rd]:[8.Rd]])</f>
        <v>8</v>
      </c>
      <c r="H6" s="2">
        <v>395.2</v>
      </c>
      <c r="I6" s="1"/>
      <c r="J6" s="6">
        <v>397.6</v>
      </c>
      <c r="K6" s="2">
        <v>396.9</v>
      </c>
      <c r="L6" s="2">
        <v>395</v>
      </c>
      <c r="M6" s="2">
        <v>391.9</v>
      </c>
      <c r="N6" s="2">
        <v>393.2</v>
      </c>
      <c r="O6" s="2">
        <v>391.1</v>
      </c>
      <c r="P6" s="2">
        <v>393.7</v>
      </c>
      <c r="Q6" s="2">
        <v>402.4</v>
      </c>
      <c r="R6" s="2">
        <f>AVERAGE(Tabelle8.Runde68910[[#This Row],[1.Rd]:[8.Rd]])</f>
        <v>395.22500000000002</v>
      </c>
      <c r="S6" s="4"/>
    </row>
    <row r="7" spans="1:19" x14ac:dyDescent="0.25">
      <c r="A7" s="9" t="s">
        <v>79</v>
      </c>
      <c r="B7" s="9" t="s">
        <v>78</v>
      </c>
      <c r="C7" s="1" t="s">
        <v>38</v>
      </c>
      <c r="D7" s="1" t="s">
        <v>26</v>
      </c>
      <c r="E7" s="3">
        <f>COUNTIF(Tabelle8.Runde68910[[#This Row],[1.Rd]:[8.Rd]],"&gt;399,9")</f>
        <v>2</v>
      </c>
      <c r="F7" s="1">
        <v>5</v>
      </c>
      <c r="G7" s="1">
        <f>COUNT(Tabelle8.Runde68910[[#This Row],[1.Rd]:[8.Rd]])</f>
        <v>8</v>
      </c>
      <c r="H7" s="2">
        <v>395</v>
      </c>
      <c r="I7" s="1"/>
      <c r="J7" s="6">
        <v>384.1</v>
      </c>
      <c r="K7" s="2">
        <v>388.9</v>
      </c>
      <c r="L7" s="2">
        <v>392.2</v>
      </c>
      <c r="M7" s="2">
        <v>388.3</v>
      </c>
      <c r="N7" s="2">
        <v>398.4</v>
      </c>
      <c r="O7" s="2">
        <v>394</v>
      </c>
      <c r="P7" s="2">
        <v>409.7</v>
      </c>
      <c r="Q7" s="2">
        <v>404.5</v>
      </c>
      <c r="R7" s="2">
        <f>AVERAGE(Tabelle8.Runde68910[[#This Row],[1.Rd]:[8.Rd]])</f>
        <v>395.01249999999999</v>
      </c>
      <c r="S7" s="4"/>
    </row>
    <row r="8" spans="1:19" x14ac:dyDescent="0.25">
      <c r="A8" s="9" t="s">
        <v>80</v>
      </c>
      <c r="B8" s="9" t="s">
        <v>82</v>
      </c>
      <c r="C8" s="1" t="s">
        <v>54</v>
      </c>
      <c r="D8" s="1" t="s">
        <v>20</v>
      </c>
      <c r="E8" s="3">
        <f>COUNTIF(Tabelle8.Runde68910[[#This Row],[1.Rd]:[8.Rd]],"&gt;399,9")</f>
        <v>5</v>
      </c>
      <c r="F8" s="1">
        <v>5</v>
      </c>
      <c r="G8" s="1">
        <f>COUNT(Tabelle8.Runde68910[[#This Row],[1.Rd]:[8.Rd]])</f>
        <v>7</v>
      </c>
      <c r="H8" s="2">
        <v>402.3</v>
      </c>
      <c r="I8" s="1"/>
      <c r="J8" s="6">
        <v>395.1</v>
      </c>
      <c r="K8" s="2">
        <v>388</v>
      </c>
      <c r="L8" s="2">
        <v>400.9</v>
      </c>
      <c r="M8" s="2">
        <v>408.9</v>
      </c>
      <c r="N8" s="2">
        <v>405.1</v>
      </c>
      <c r="O8" s="2"/>
      <c r="P8" s="2">
        <v>409.4</v>
      </c>
      <c r="Q8" s="2">
        <v>408.4</v>
      </c>
      <c r="R8" s="2">
        <f>AVERAGE(Tabelle8.Runde68910[[#This Row],[1.Rd]:[8.Rd]])</f>
        <v>402.25714285714287</v>
      </c>
      <c r="S8" s="4"/>
    </row>
    <row r="9" spans="1:19" x14ac:dyDescent="0.25">
      <c r="A9" s="9" t="s">
        <v>81</v>
      </c>
      <c r="B9" s="9" t="s">
        <v>79</v>
      </c>
      <c r="C9" s="1" t="s">
        <v>48</v>
      </c>
      <c r="D9" s="1" t="s">
        <v>29</v>
      </c>
      <c r="E9" s="3">
        <f>COUNTIF(Tabelle8.Runde68910[[#This Row],[1.Rd]:[8.Rd]],"&gt;399,9")</f>
        <v>1</v>
      </c>
      <c r="F9" s="1">
        <v>4</v>
      </c>
      <c r="G9" s="1">
        <f>COUNT(Tabelle8.Runde68910[[#This Row],[1.Rd]:[8.Rd]])</f>
        <v>8</v>
      </c>
      <c r="H9" s="6">
        <v>398.6</v>
      </c>
      <c r="I9" s="1"/>
      <c r="J9" s="6">
        <v>397.2</v>
      </c>
      <c r="K9" s="2">
        <v>398.6</v>
      </c>
      <c r="L9" s="2">
        <v>399.6</v>
      </c>
      <c r="M9" s="2">
        <v>398.2</v>
      </c>
      <c r="N9" s="2">
        <v>398.8</v>
      </c>
      <c r="O9" s="2">
        <v>406.3</v>
      </c>
      <c r="P9" s="2">
        <v>396.4</v>
      </c>
      <c r="Q9" s="2">
        <v>393.5</v>
      </c>
      <c r="R9" s="2">
        <f>AVERAGE(Tabelle8.Runde68910[[#This Row],[1.Rd]:[8.Rd]])</f>
        <v>398.57500000000005</v>
      </c>
      <c r="S9" s="4"/>
    </row>
    <row r="10" spans="1:19" x14ac:dyDescent="0.25">
      <c r="A10" s="9" t="s">
        <v>82</v>
      </c>
      <c r="B10" s="9" t="s">
        <v>80</v>
      </c>
      <c r="C10" s="1" t="s">
        <v>37</v>
      </c>
      <c r="D10" s="1" t="s">
        <v>26</v>
      </c>
      <c r="E10" s="3">
        <f>COUNTIF(Tabelle8.Runde68910[[#This Row],[1.Rd]:[8.Rd]],"&gt;399,9")</f>
        <v>0</v>
      </c>
      <c r="F10" s="1">
        <v>4</v>
      </c>
      <c r="G10" s="1">
        <f>COUNT(Tabelle8.Runde68910[[#This Row],[1.Rd]:[8.Rd]])</f>
        <v>8</v>
      </c>
      <c r="H10" s="2">
        <v>397</v>
      </c>
      <c r="I10" s="1"/>
      <c r="J10" s="6">
        <v>397</v>
      </c>
      <c r="K10" s="2">
        <v>397.9</v>
      </c>
      <c r="L10" s="2">
        <v>396.9</v>
      </c>
      <c r="M10" s="2">
        <v>397.5</v>
      </c>
      <c r="N10" s="2">
        <v>396.2</v>
      </c>
      <c r="O10" s="2">
        <v>397.3</v>
      </c>
      <c r="P10" s="2">
        <v>395.1</v>
      </c>
      <c r="Q10" s="2">
        <v>398</v>
      </c>
      <c r="R10" s="2">
        <f>AVERAGE(Tabelle8.Runde68910[[#This Row],[1.Rd]:[8.Rd]])</f>
        <v>396.98750000000001</v>
      </c>
      <c r="S10" s="4"/>
    </row>
    <row r="11" spans="1:19" x14ac:dyDescent="0.25">
      <c r="A11" s="9" t="s">
        <v>83</v>
      </c>
      <c r="B11" s="9" t="s">
        <v>85</v>
      </c>
      <c r="C11" s="1" t="s">
        <v>34</v>
      </c>
      <c r="D11" s="1" t="s">
        <v>28</v>
      </c>
      <c r="E11" s="3">
        <f>COUNTIF(Tabelle8.Runde68910[[#This Row],[1.Rd]:[8.Rd]],"&gt;399,9")</f>
        <v>0</v>
      </c>
      <c r="F11" s="1">
        <v>4</v>
      </c>
      <c r="G11" s="1">
        <f>COUNT(Tabelle8.Runde68910[[#This Row],[1.Rd]:[8.Rd]])</f>
        <v>8</v>
      </c>
      <c r="H11" s="2">
        <v>393.2</v>
      </c>
      <c r="I11" s="1"/>
      <c r="J11" s="6">
        <v>390.5</v>
      </c>
      <c r="K11" s="2">
        <v>387.3</v>
      </c>
      <c r="L11" s="2">
        <v>388.8</v>
      </c>
      <c r="M11" s="2">
        <v>392.2</v>
      </c>
      <c r="N11" s="2">
        <v>399.8</v>
      </c>
      <c r="O11" s="2">
        <v>396.1</v>
      </c>
      <c r="P11" s="2">
        <v>395.1</v>
      </c>
      <c r="Q11" s="2">
        <v>395.9</v>
      </c>
      <c r="R11" s="2">
        <f>AVERAGE(Tabelle8.Runde68910[[#This Row],[1.Rd]:[8.Rd]])</f>
        <v>393.21249999999998</v>
      </c>
      <c r="S11" s="4"/>
    </row>
    <row r="12" spans="1:19" x14ac:dyDescent="0.25">
      <c r="A12" s="9" t="s">
        <v>84</v>
      </c>
      <c r="B12" s="9" t="s">
        <v>86</v>
      </c>
      <c r="C12" s="1" t="s">
        <v>39</v>
      </c>
      <c r="D12" s="1" t="s">
        <v>23</v>
      </c>
      <c r="E12" s="3">
        <f>COUNTIF(Tabelle8.Runde68910[[#This Row],[1.Rd]:[8.Rd]],"&gt;399,9")</f>
        <v>0</v>
      </c>
      <c r="F12" s="1">
        <v>4</v>
      </c>
      <c r="G12" s="1">
        <f>COUNT(Tabelle8.Runde68910[[#This Row],[1.Rd]:[8.Rd]])</f>
        <v>8</v>
      </c>
      <c r="H12" s="6">
        <v>392.2</v>
      </c>
      <c r="I12" s="1"/>
      <c r="J12" s="6">
        <v>397.2</v>
      </c>
      <c r="K12" s="2">
        <v>398.7</v>
      </c>
      <c r="L12" s="2">
        <v>393.8</v>
      </c>
      <c r="M12" s="2">
        <v>377.4</v>
      </c>
      <c r="N12" s="2">
        <v>392.9</v>
      </c>
      <c r="O12" s="2">
        <v>394.5</v>
      </c>
      <c r="P12" s="2">
        <v>389.4</v>
      </c>
      <c r="Q12" s="2">
        <v>393.3</v>
      </c>
      <c r="R12" s="2">
        <f>AVERAGE(Tabelle8.Runde68910[[#This Row],[1.Rd]:[8.Rd]])</f>
        <v>392.15000000000003</v>
      </c>
      <c r="S12" s="4"/>
    </row>
    <row r="13" spans="1:19" x14ac:dyDescent="0.25">
      <c r="A13" s="9" t="s">
        <v>85</v>
      </c>
      <c r="B13" s="9" t="s">
        <v>87</v>
      </c>
      <c r="C13" s="1" t="s">
        <v>40</v>
      </c>
      <c r="D13" s="1" t="s">
        <v>23</v>
      </c>
      <c r="E13" s="3">
        <f>COUNTIF(Tabelle8.Runde68910[[#This Row],[1.Rd]:[8.Rd]],"&gt;399,9")</f>
        <v>0</v>
      </c>
      <c r="F13" s="1">
        <v>4</v>
      </c>
      <c r="G13" s="1">
        <f>COUNT(Tabelle8.Runde68910[[#This Row],[1.Rd]:[8.Rd]])</f>
        <v>8</v>
      </c>
      <c r="H13" s="6">
        <v>391.1</v>
      </c>
      <c r="I13" s="1"/>
      <c r="J13" s="6">
        <v>391.5</v>
      </c>
      <c r="K13" s="2">
        <v>394.9</v>
      </c>
      <c r="L13" s="2">
        <v>396.8</v>
      </c>
      <c r="M13" s="2">
        <v>386.1</v>
      </c>
      <c r="N13" s="2">
        <v>388.5</v>
      </c>
      <c r="O13" s="2">
        <v>393.3</v>
      </c>
      <c r="P13" s="2">
        <v>385.6</v>
      </c>
      <c r="Q13" s="2">
        <v>392.4</v>
      </c>
      <c r="R13" s="2">
        <f>AVERAGE(Tabelle8.Runde68910[[#This Row],[1.Rd]:[8.Rd]])</f>
        <v>391.13750000000005</v>
      </c>
      <c r="S13" s="4"/>
    </row>
    <row r="14" spans="1:19" x14ac:dyDescent="0.25">
      <c r="A14" s="9" t="s">
        <v>86</v>
      </c>
      <c r="B14" s="9" t="s">
        <v>84</v>
      </c>
      <c r="C14" s="1" t="s">
        <v>55</v>
      </c>
      <c r="D14" s="1" t="s">
        <v>20</v>
      </c>
      <c r="E14" s="3">
        <f>COUNTIF(Tabelle8.Runde68910[[#This Row],[1.Rd]:[8.Rd]],"&gt;399,9")</f>
        <v>6</v>
      </c>
      <c r="F14" s="1">
        <v>4</v>
      </c>
      <c r="G14" s="1">
        <f>COUNT(Tabelle8.Runde68910[[#This Row],[1.Rd]:[8.Rd]])</f>
        <v>6</v>
      </c>
      <c r="H14" s="2">
        <v>403.7</v>
      </c>
      <c r="I14" s="1"/>
      <c r="J14" s="6">
        <v>406.4</v>
      </c>
      <c r="K14" s="2">
        <v>401.5</v>
      </c>
      <c r="L14" s="2"/>
      <c r="M14" s="2">
        <v>407.7</v>
      </c>
      <c r="N14" s="2">
        <v>402.3</v>
      </c>
      <c r="O14" s="2">
        <v>402.9</v>
      </c>
      <c r="P14" s="2"/>
      <c r="Q14" s="2">
        <v>401.4</v>
      </c>
      <c r="R14" s="2">
        <f>AVERAGE(Tabelle8.Runde68910[[#This Row],[1.Rd]:[8.Rd]])</f>
        <v>403.7</v>
      </c>
      <c r="S14" s="4"/>
    </row>
    <row r="15" spans="1:19" x14ac:dyDescent="0.25">
      <c r="A15" s="9" t="s">
        <v>87</v>
      </c>
      <c r="B15" s="9" t="s">
        <v>91</v>
      </c>
      <c r="C15" s="1" t="s">
        <v>76</v>
      </c>
      <c r="D15" s="1" t="s">
        <v>21</v>
      </c>
      <c r="E15" s="3">
        <f>COUNTIF(Tabelle8.Runde68910[[#This Row],[1.Rd]:[8.Rd]],"&gt;399,9")</f>
        <v>4</v>
      </c>
      <c r="F15" s="1">
        <v>4</v>
      </c>
      <c r="G15" s="1">
        <f>COUNT(Tabelle8.Runde68910[[#This Row],[1.Rd]:[8.Rd]])</f>
        <v>6</v>
      </c>
      <c r="H15" s="6">
        <v>400.9</v>
      </c>
      <c r="I15" s="1"/>
      <c r="J15" s="6">
        <v>395.1</v>
      </c>
      <c r="K15" s="2"/>
      <c r="L15" s="2"/>
      <c r="M15" s="2">
        <v>401.9</v>
      </c>
      <c r="N15" s="2">
        <v>404.1</v>
      </c>
      <c r="O15" s="2">
        <v>400.1</v>
      </c>
      <c r="P15" s="2">
        <v>396.7</v>
      </c>
      <c r="Q15" s="2">
        <v>407.2</v>
      </c>
      <c r="R15" s="2">
        <f>AVERAGE(Tabelle8.Runde68910[[#This Row],[1.Rd]:[8.Rd]])</f>
        <v>400.84999999999997</v>
      </c>
      <c r="S15" s="4"/>
    </row>
    <row r="16" spans="1:19" x14ac:dyDescent="0.25">
      <c r="A16" s="9" t="s">
        <v>88</v>
      </c>
      <c r="B16" s="9" t="s">
        <v>83</v>
      </c>
      <c r="C16" s="1" t="s">
        <v>30</v>
      </c>
      <c r="D16" s="1" t="s">
        <v>24</v>
      </c>
      <c r="E16" s="3">
        <f>COUNTIF(Tabelle8.Runde68910[[#This Row],[1.Rd]:[8.Rd]],"&gt;399,9")</f>
        <v>5</v>
      </c>
      <c r="F16" s="1">
        <v>4</v>
      </c>
      <c r="G16" s="1">
        <f>COUNT(Tabelle8.Runde68910[[#This Row],[1.Rd]:[8.Rd]])</f>
        <v>6</v>
      </c>
      <c r="H16" s="2">
        <v>389.3</v>
      </c>
      <c r="I16" s="1"/>
      <c r="J16" s="6">
        <v>305.2</v>
      </c>
      <c r="K16" s="2">
        <v>402.8</v>
      </c>
      <c r="L16" s="2">
        <v>408.9</v>
      </c>
      <c r="M16" s="2">
        <v>400.4</v>
      </c>
      <c r="N16" s="2">
        <v>406.6</v>
      </c>
      <c r="O16" s="2">
        <v>411.7</v>
      </c>
      <c r="P16" s="2"/>
      <c r="Q16" s="2"/>
      <c r="R16" s="2">
        <f>AVERAGE(Tabelle8.Runde68910[[#This Row],[1.Rd]:[8.Rd]])</f>
        <v>389.26666666666665</v>
      </c>
      <c r="S16" s="4"/>
    </row>
    <row r="17" spans="1:19" x14ac:dyDescent="0.25">
      <c r="A17" s="9" t="s">
        <v>89</v>
      </c>
      <c r="B17" s="9" t="s">
        <v>93</v>
      </c>
      <c r="C17" s="1" t="s">
        <v>66</v>
      </c>
      <c r="D17" s="1" t="s">
        <v>23</v>
      </c>
      <c r="E17" s="3">
        <f>COUNTIF(Tabelle8.Runde68910[[#This Row],[1.Rd]:[8.Rd]],"&gt;399,9")</f>
        <v>4</v>
      </c>
      <c r="F17" s="1">
        <v>4</v>
      </c>
      <c r="G17" s="1">
        <f>COUNT(Tabelle8.Runde68910[[#This Row],[1.Rd]:[8.Rd]])</f>
        <v>5</v>
      </c>
      <c r="H17" s="2">
        <v>403.1</v>
      </c>
      <c r="I17" s="1"/>
      <c r="J17" s="2"/>
      <c r="K17" s="2">
        <v>407.2</v>
      </c>
      <c r="L17" s="2">
        <v>403.6</v>
      </c>
      <c r="M17" s="2">
        <v>402.1</v>
      </c>
      <c r="N17" s="2"/>
      <c r="O17" s="2"/>
      <c r="P17" s="2">
        <v>404.3</v>
      </c>
      <c r="Q17" s="2">
        <v>398.5</v>
      </c>
      <c r="R17" s="2">
        <f>AVERAGE(Tabelle8.Runde68910[[#This Row],[1.Rd]:[8.Rd]])</f>
        <v>403.14</v>
      </c>
      <c r="S17" s="4"/>
    </row>
    <row r="18" spans="1:19" x14ac:dyDescent="0.25">
      <c r="A18" s="9" t="s">
        <v>90</v>
      </c>
      <c r="B18" s="9" t="s">
        <v>94</v>
      </c>
      <c r="C18" s="1" t="s">
        <v>65</v>
      </c>
      <c r="D18" s="1" t="s">
        <v>27</v>
      </c>
      <c r="E18" s="3">
        <f>COUNTIF(Tabelle8.Runde68910[[#This Row],[1.Rd]:[8.Rd]],"&gt;399,9")</f>
        <v>1</v>
      </c>
      <c r="F18" s="1">
        <v>4</v>
      </c>
      <c r="G18" s="1">
        <f>COUNT(Tabelle8.Runde68910[[#This Row],[1.Rd]:[8.Rd]])</f>
        <v>4</v>
      </c>
      <c r="H18" s="2">
        <v>396.4</v>
      </c>
      <c r="I18" s="1"/>
      <c r="J18" s="2"/>
      <c r="K18" s="2">
        <v>392</v>
      </c>
      <c r="L18" s="2">
        <v>398.7</v>
      </c>
      <c r="M18" s="2">
        <v>394.5</v>
      </c>
      <c r="N18" s="2"/>
      <c r="O18" s="2"/>
      <c r="P18" s="2"/>
      <c r="Q18" s="2">
        <v>400.2</v>
      </c>
      <c r="R18" s="2">
        <f>AVERAGE(Tabelle8.Runde68910[[#This Row],[1.Rd]:[8.Rd]])</f>
        <v>396.35</v>
      </c>
      <c r="S18" s="4"/>
    </row>
    <row r="19" spans="1:19" x14ac:dyDescent="0.25">
      <c r="A19" s="9" t="s">
        <v>91</v>
      </c>
      <c r="B19" s="9" t="s">
        <v>88</v>
      </c>
      <c r="C19" s="1" t="s">
        <v>35</v>
      </c>
      <c r="D19" s="1" t="s">
        <v>28</v>
      </c>
      <c r="E19" s="3">
        <f>COUNTIF(Tabelle8.Runde68910[[#This Row],[1.Rd]:[8.Rd]],"&gt;399,9")</f>
        <v>0</v>
      </c>
      <c r="F19" s="1">
        <v>3</v>
      </c>
      <c r="G19" s="1">
        <f>COUNT(Tabelle8.Runde68910[[#This Row],[1.Rd]:[8.Rd]])</f>
        <v>8</v>
      </c>
      <c r="H19" s="2">
        <v>387.4</v>
      </c>
      <c r="I19" s="1"/>
      <c r="J19" s="6">
        <v>389.5</v>
      </c>
      <c r="K19" s="2">
        <v>383.9</v>
      </c>
      <c r="L19" s="2">
        <v>382.7</v>
      </c>
      <c r="M19" s="2">
        <v>389.3</v>
      </c>
      <c r="N19" s="2">
        <v>390.5</v>
      </c>
      <c r="O19" s="2">
        <v>393.7</v>
      </c>
      <c r="P19" s="2">
        <v>385.5</v>
      </c>
      <c r="Q19" s="2">
        <v>384.3</v>
      </c>
      <c r="R19" s="2">
        <f>AVERAGE(Tabelle8.Runde68910[[#This Row],[1.Rd]:[8.Rd]])</f>
        <v>387.42500000000001</v>
      </c>
      <c r="S19" s="4"/>
    </row>
    <row r="20" spans="1:19" x14ac:dyDescent="0.25">
      <c r="A20" s="9" t="s">
        <v>92</v>
      </c>
      <c r="B20" s="9" t="s">
        <v>95</v>
      </c>
      <c r="C20" s="1" t="s">
        <v>47</v>
      </c>
      <c r="D20" s="1" t="s">
        <v>22</v>
      </c>
      <c r="E20" s="3">
        <f>COUNTIF(Tabelle8.Runde68910[[#This Row],[1.Rd]:[8.Rd]],"&gt;399,9")</f>
        <v>0</v>
      </c>
      <c r="F20" s="1">
        <v>3</v>
      </c>
      <c r="G20" s="1">
        <f>COUNT(Tabelle8.Runde68910[[#This Row],[1.Rd]:[8.Rd]])</f>
        <v>8</v>
      </c>
      <c r="H20" s="2">
        <v>382.6</v>
      </c>
      <c r="I20" s="1"/>
      <c r="J20" s="6">
        <v>375.7</v>
      </c>
      <c r="K20" s="2">
        <v>377.4</v>
      </c>
      <c r="L20" s="2">
        <v>392.6</v>
      </c>
      <c r="M20" s="2">
        <v>385.5</v>
      </c>
      <c r="N20" s="2">
        <v>376.1</v>
      </c>
      <c r="O20" s="2">
        <v>376.7</v>
      </c>
      <c r="P20" s="2">
        <v>385.3</v>
      </c>
      <c r="Q20" s="2">
        <v>391.8</v>
      </c>
      <c r="R20" s="2">
        <f>AVERAGE(Tabelle8.Runde68910[[#This Row],[1.Rd]:[8.Rd]])</f>
        <v>382.63749999999999</v>
      </c>
      <c r="S20" s="4"/>
    </row>
    <row r="21" spans="1:19" x14ac:dyDescent="0.25">
      <c r="A21" s="9" t="s">
        <v>93</v>
      </c>
      <c r="B21" s="9" t="s">
        <v>89</v>
      </c>
      <c r="C21" s="1" t="s">
        <v>68</v>
      </c>
      <c r="D21" s="1" t="s">
        <v>29</v>
      </c>
      <c r="E21" s="3">
        <f>COUNTIF(Tabelle8.Runde68910[[#This Row],[1.Rd]:[8.Rd]],"&gt;399,9")</f>
        <v>0</v>
      </c>
      <c r="F21" s="1">
        <v>3</v>
      </c>
      <c r="G21" s="1">
        <f>COUNT(Tabelle8.Runde68910[[#This Row],[1.Rd]:[8.Rd]])</f>
        <v>7</v>
      </c>
      <c r="H21" s="2">
        <v>388.5</v>
      </c>
      <c r="I21" s="1"/>
      <c r="J21" s="2"/>
      <c r="K21" s="2">
        <v>391.7</v>
      </c>
      <c r="L21" s="2">
        <v>387.5</v>
      </c>
      <c r="M21" s="2">
        <v>383.3</v>
      </c>
      <c r="N21" s="2">
        <v>391.8</v>
      </c>
      <c r="O21" s="2">
        <v>381.3</v>
      </c>
      <c r="P21" s="2">
        <v>390.8</v>
      </c>
      <c r="Q21" s="2">
        <v>393.2</v>
      </c>
      <c r="R21" s="2">
        <f>AVERAGE(Tabelle8.Runde68910[[#This Row],[1.Rd]:[8.Rd]])</f>
        <v>388.51428571428568</v>
      </c>
      <c r="S21" s="4"/>
    </row>
    <row r="22" spans="1:19" x14ac:dyDescent="0.25">
      <c r="A22" s="9" t="s">
        <v>94</v>
      </c>
      <c r="B22" s="9" t="s">
        <v>98</v>
      </c>
      <c r="C22" s="1" t="s">
        <v>43</v>
      </c>
      <c r="D22" s="1" t="s">
        <v>27</v>
      </c>
      <c r="E22" s="3">
        <f>COUNTIF(Tabelle8.Runde68910[[#This Row],[1.Rd]:[8.Rd]],"&gt;399,9")</f>
        <v>3</v>
      </c>
      <c r="F22" s="1">
        <v>3</v>
      </c>
      <c r="G22" s="1">
        <f>COUNT(Tabelle8.Runde68910[[#This Row],[1.Rd]:[8.Rd]])</f>
        <v>6</v>
      </c>
      <c r="H22" s="6">
        <v>398.6</v>
      </c>
      <c r="I22" s="1"/>
      <c r="J22" s="6">
        <v>408.2</v>
      </c>
      <c r="K22" s="2"/>
      <c r="L22" s="2"/>
      <c r="M22" s="2">
        <v>396</v>
      </c>
      <c r="N22" s="2">
        <v>390.1</v>
      </c>
      <c r="O22" s="2">
        <v>401.6</v>
      </c>
      <c r="P22" s="2">
        <v>394.4</v>
      </c>
      <c r="Q22" s="2">
        <v>401.3</v>
      </c>
      <c r="R22" s="2">
        <f>AVERAGE(Tabelle8.Runde68910[[#This Row],[1.Rd]:[8.Rd]])</f>
        <v>398.60000000000008</v>
      </c>
      <c r="S22" s="4"/>
    </row>
    <row r="23" spans="1:19" x14ac:dyDescent="0.25">
      <c r="A23" s="9" t="s">
        <v>95</v>
      </c>
      <c r="B23" s="9" t="s">
        <v>92</v>
      </c>
      <c r="C23" s="1" t="s">
        <v>31</v>
      </c>
      <c r="D23" s="1" t="s">
        <v>24</v>
      </c>
      <c r="E23" s="3">
        <f>COUNTIF(Tabelle8.Runde68910[[#This Row],[1.Rd]:[8.Rd]],"&gt;399,9")</f>
        <v>0</v>
      </c>
      <c r="F23" s="1">
        <v>3</v>
      </c>
      <c r="G23" s="1">
        <f>COUNT(Tabelle8.Runde68910[[#This Row],[1.Rd]:[8.Rd]])</f>
        <v>6</v>
      </c>
      <c r="H23" s="6">
        <v>389</v>
      </c>
      <c r="I23" s="1"/>
      <c r="J23" s="6">
        <v>380.4</v>
      </c>
      <c r="K23" s="2"/>
      <c r="L23" s="2"/>
      <c r="M23" s="2">
        <v>389.9</v>
      </c>
      <c r="N23" s="2">
        <v>390.8</v>
      </c>
      <c r="O23" s="2">
        <v>392.9</v>
      </c>
      <c r="P23" s="2">
        <v>389.1</v>
      </c>
      <c r="Q23" s="2">
        <v>390.6</v>
      </c>
      <c r="R23" s="2">
        <f>AVERAGE(Tabelle8.Runde68910[[#This Row],[1.Rd]:[8.Rd]])</f>
        <v>388.95</v>
      </c>
      <c r="S23" s="4"/>
    </row>
    <row r="24" spans="1:19" x14ac:dyDescent="0.25">
      <c r="A24" s="9" t="s">
        <v>96</v>
      </c>
      <c r="B24" s="9" t="s">
        <v>90</v>
      </c>
      <c r="C24" s="1" t="s">
        <v>36</v>
      </c>
      <c r="D24" s="1" t="s">
        <v>26</v>
      </c>
      <c r="E24" s="3">
        <f>COUNTIF(Tabelle8.Runde68910[[#This Row],[1.Rd]:[8.Rd]],"&gt;399,9")</f>
        <v>3</v>
      </c>
      <c r="F24" s="1">
        <v>3</v>
      </c>
      <c r="G24" s="1">
        <f>COUNT(Tabelle8.Runde68910[[#This Row],[1.Rd]:[8.Rd]])</f>
        <v>5</v>
      </c>
      <c r="H24" s="2">
        <v>402.7</v>
      </c>
      <c r="I24" s="1"/>
      <c r="J24" s="6">
        <v>405.8</v>
      </c>
      <c r="K24" s="2">
        <v>398.9</v>
      </c>
      <c r="L24" s="2">
        <v>398.2</v>
      </c>
      <c r="M24" s="2"/>
      <c r="N24" s="2">
        <v>403.1</v>
      </c>
      <c r="O24" s="2">
        <v>407.3</v>
      </c>
      <c r="P24" s="2"/>
      <c r="Q24" s="2"/>
      <c r="R24" s="2">
        <f>AVERAGE(Tabelle8.Runde68910[[#This Row],[1.Rd]:[8.Rd]])</f>
        <v>402.65999999999997</v>
      </c>
      <c r="S24" s="4"/>
    </row>
    <row r="25" spans="1:19" x14ac:dyDescent="0.25">
      <c r="A25" s="9" t="s">
        <v>97</v>
      </c>
      <c r="B25" s="9" t="s">
        <v>102</v>
      </c>
      <c r="C25" s="1" t="s">
        <v>56</v>
      </c>
      <c r="D25" s="1" t="s">
        <v>20</v>
      </c>
      <c r="E25" s="3">
        <f>COUNTIF(Tabelle8.Runde68910[[#This Row],[1.Rd]:[8.Rd]],"&gt;399,9")</f>
        <v>0</v>
      </c>
      <c r="F25" s="1">
        <v>2</v>
      </c>
      <c r="G25" s="1">
        <f>COUNT(Tabelle8.Runde68910[[#This Row],[1.Rd]:[8.Rd]])</f>
        <v>7</v>
      </c>
      <c r="H25" s="2">
        <v>391.9</v>
      </c>
      <c r="I25" s="1"/>
      <c r="J25" s="6">
        <v>392.3</v>
      </c>
      <c r="K25" s="2">
        <v>398.8</v>
      </c>
      <c r="L25" s="2">
        <v>390</v>
      </c>
      <c r="M25" s="2">
        <v>391.8</v>
      </c>
      <c r="N25" s="2"/>
      <c r="O25" s="2">
        <v>381.4</v>
      </c>
      <c r="P25" s="2">
        <v>396.1</v>
      </c>
      <c r="Q25" s="2">
        <v>393.1</v>
      </c>
      <c r="R25" s="2">
        <f>AVERAGE(Tabelle8.Runde68910[[#This Row],[1.Rd]:[8.Rd]])</f>
        <v>391.92857142857139</v>
      </c>
      <c r="S25" s="4"/>
    </row>
    <row r="26" spans="1:19" x14ac:dyDescent="0.25">
      <c r="A26" s="9" t="s">
        <v>98</v>
      </c>
      <c r="B26" s="9" t="s">
        <v>96</v>
      </c>
      <c r="C26" s="1" t="s">
        <v>44</v>
      </c>
      <c r="D26" s="1" t="s">
        <v>27</v>
      </c>
      <c r="E26" s="3">
        <f>COUNTIF(Tabelle8.Runde68910[[#This Row],[1.Rd]:[8.Rd]],"&gt;399,9")</f>
        <v>1</v>
      </c>
      <c r="F26" s="1">
        <v>2</v>
      </c>
      <c r="G26" s="1">
        <f>COUNT(Tabelle8.Runde68910[[#This Row],[1.Rd]:[8.Rd]])</f>
        <v>6</v>
      </c>
      <c r="H26" s="2">
        <v>397.3</v>
      </c>
      <c r="I26" s="1"/>
      <c r="J26" s="6">
        <v>401.1</v>
      </c>
      <c r="K26" s="2">
        <v>395.7</v>
      </c>
      <c r="L26" s="2">
        <v>399.5</v>
      </c>
      <c r="M26" s="2"/>
      <c r="N26" s="2">
        <v>394.5</v>
      </c>
      <c r="O26" s="2">
        <v>397</v>
      </c>
      <c r="P26" s="2">
        <v>396</v>
      </c>
      <c r="Q26" s="2"/>
      <c r="R26" s="2">
        <f>AVERAGE(Tabelle8.Runde68910[[#This Row],[1.Rd]:[8.Rd]])</f>
        <v>397.3</v>
      </c>
      <c r="S26" s="4"/>
    </row>
    <row r="27" spans="1:19" x14ac:dyDescent="0.25">
      <c r="A27" s="9" t="s">
        <v>99</v>
      </c>
      <c r="B27" s="9" t="s">
        <v>99</v>
      </c>
      <c r="C27" s="1" t="s">
        <v>60</v>
      </c>
      <c r="D27" s="1" t="s">
        <v>22</v>
      </c>
      <c r="E27" s="3">
        <f>COUNTIF(Tabelle8.Runde68910[[#This Row],[1.Rd]:[8.Rd]],"&gt;399,9")</f>
        <v>0</v>
      </c>
      <c r="F27" s="1">
        <v>2</v>
      </c>
      <c r="G27" s="1">
        <f>COUNT(Tabelle8.Runde68910[[#This Row],[1.Rd]:[8.Rd]])</f>
        <v>6</v>
      </c>
      <c r="H27" s="2">
        <v>384.2</v>
      </c>
      <c r="I27" s="1"/>
      <c r="J27" s="2"/>
      <c r="K27" s="2">
        <v>378.9</v>
      </c>
      <c r="L27" s="2">
        <v>392.8</v>
      </c>
      <c r="M27" s="2"/>
      <c r="N27" s="2">
        <v>380.8</v>
      </c>
      <c r="O27" s="2">
        <v>376.7</v>
      </c>
      <c r="P27" s="2">
        <v>384.8</v>
      </c>
      <c r="Q27" s="2">
        <v>391.1</v>
      </c>
      <c r="R27" s="2">
        <f>AVERAGE(Tabelle8.Runde68910[[#This Row],[1.Rd]:[8.Rd]])</f>
        <v>384.18333333333334</v>
      </c>
      <c r="S27" s="4"/>
    </row>
    <row r="28" spans="1:19" x14ac:dyDescent="0.25">
      <c r="A28" s="9" t="s">
        <v>100</v>
      </c>
      <c r="B28" s="9" t="s">
        <v>103</v>
      </c>
      <c r="C28" s="1" t="s">
        <v>64</v>
      </c>
      <c r="D28" s="1" t="s">
        <v>24</v>
      </c>
      <c r="E28" s="3">
        <f>COUNTIF(Tabelle8.Runde68910[[#This Row],[1.Rd]:[8.Rd]],"&gt;399,9")</f>
        <v>0</v>
      </c>
      <c r="F28" s="1">
        <v>2</v>
      </c>
      <c r="G28" s="1">
        <f>COUNT(Tabelle8.Runde68910[[#This Row],[1.Rd]:[8.Rd]])</f>
        <v>6</v>
      </c>
      <c r="H28" s="2">
        <v>378</v>
      </c>
      <c r="I28" s="1"/>
      <c r="J28" s="2"/>
      <c r="K28" s="2">
        <v>382</v>
      </c>
      <c r="L28" s="2">
        <v>389.4</v>
      </c>
      <c r="M28" s="2"/>
      <c r="N28" s="2">
        <v>374.7</v>
      </c>
      <c r="O28" s="2">
        <v>370.3</v>
      </c>
      <c r="P28" s="2">
        <v>373.1</v>
      </c>
      <c r="Q28" s="2">
        <v>378.3</v>
      </c>
      <c r="R28" s="2">
        <f>AVERAGE(Tabelle8.Runde68910[[#This Row],[1.Rd]:[8.Rd]])</f>
        <v>377.9666666666667</v>
      </c>
      <c r="S28" s="4"/>
    </row>
    <row r="29" spans="1:19" x14ac:dyDescent="0.25">
      <c r="A29" s="9" t="s">
        <v>101</v>
      </c>
      <c r="B29" s="9" t="s">
        <v>97</v>
      </c>
      <c r="C29" s="1" t="s">
        <v>67</v>
      </c>
      <c r="D29" s="1" t="s">
        <v>29</v>
      </c>
      <c r="E29" s="3">
        <f>COUNTIF(Tabelle8.Runde68910[[#This Row],[1.Rd]:[8.Rd]],"&gt;399,9")</f>
        <v>3</v>
      </c>
      <c r="F29" s="1">
        <v>2</v>
      </c>
      <c r="G29" s="1">
        <f>COUNT(Tabelle8.Runde68910[[#This Row],[1.Rd]:[8.Rd]])</f>
        <v>5</v>
      </c>
      <c r="H29" s="2">
        <v>401.8</v>
      </c>
      <c r="I29" s="1"/>
      <c r="J29" s="2"/>
      <c r="K29" s="2">
        <v>405.3</v>
      </c>
      <c r="L29" s="2">
        <v>405.3</v>
      </c>
      <c r="M29" s="2">
        <v>397.8</v>
      </c>
      <c r="N29" s="2">
        <v>397</v>
      </c>
      <c r="O29" s="2">
        <v>403.7</v>
      </c>
      <c r="P29" s="2"/>
      <c r="Q29" s="2"/>
      <c r="R29" s="2">
        <f>AVERAGE(Tabelle8.Runde68910[[#This Row],[1.Rd]:[8.Rd]])</f>
        <v>401.82000000000005</v>
      </c>
      <c r="S29" s="4"/>
    </row>
    <row r="30" spans="1:19" x14ac:dyDescent="0.25">
      <c r="A30" s="9" t="s">
        <v>102</v>
      </c>
      <c r="B30" s="9" t="s">
        <v>100</v>
      </c>
      <c r="C30" s="1" t="s">
        <v>75</v>
      </c>
      <c r="D30" s="1" t="s">
        <v>25</v>
      </c>
      <c r="E30" s="3">
        <f>COUNTIF(Tabelle8.Runde68910[[#This Row],[1.Rd]:[8.Rd]],"&gt;399,9")</f>
        <v>1</v>
      </c>
      <c r="F30" s="1">
        <v>2</v>
      </c>
      <c r="G30" s="1">
        <f>COUNT(Tabelle8.Runde68910[[#This Row],[1.Rd]:[8.Rd]])</f>
        <v>4</v>
      </c>
      <c r="H30" s="2">
        <v>394.6</v>
      </c>
      <c r="I30" s="1"/>
      <c r="J30" s="6">
        <v>401.2</v>
      </c>
      <c r="K30" s="2">
        <v>388.5</v>
      </c>
      <c r="L30" s="2">
        <v>394.5</v>
      </c>
      <c r="M30" s="2"/>
      <c r="N30" s="2">
        <v>394.2</v>
      </c>
      <c r="O30" s="2"/>
      <c r="P30" s="2"/>
      <c r="Q30" s="2"/>
      <c r="R30" s="2">
        <f>AVERAGE(Tabelle8.Runde68910[[#This Row],[1.Rd]:[8.Rd]])</f>
        <v>394.6</v>
      </c>
      <c r="S30" s="4"/>
    </row>
    <row r="31" spans="1:19" x14ac:dyDescent="0.25">
      <c r="A31" s="9" t="s">
        <v>103</v>
      </c>
      <c r="B31" s="9" t="s">
        <v>101</v>
      </c>
      <c r="C31" s="1" t="s">
        <v>63</v>
      </c>
      <c r="D31" s="1" t="s">
        <v>24</v>
      </c>
      <c r="E31" s="3">
        <f>COUNTIF(Tabelle8.Runde68910[[#This Row],[1.Rd]:[8.Rd]],"&gt;399,9")</f>
        <v>2</v>
      </c>
      <c r="F31" s="1">
        <v>2</v>
      </c>
      <c r="G31" s="1">
        <f>COUNT(Tabelle8.Runde68910[[#This Row],[1.Rd]:[8.Rd]])</f>
        <v>2</v>
      </c>
      <c r="H31" s="2">
        <v>416.9</v>
      </c>
      <c r="I31" s="1"/>
      <c r="J31" s="2"/>
      <c r="K31" s="2">
        <v>416.9</v>
      </c>
      <c r="L31" s="2">
        <v>416.9</v>
      </c>
      <c r="M31" s="2"/>
      <c r="N31" s="2"/>
      <c r="O31" s="2"/>
      <c r="P31" s="2"/>
      <c r="Q31" s="2"/>
      <c r="R31" s="2">
        <f>AVERAGE(Tabelle8.Runde68910[[#This Row],[1.Rd]:[8.Rd]])</f>
        <v>416.9</v>
      </c>
      <c r="S31" s="4"/>
    </row>
    <row r="32" spans="1:19" x14ac:dyDescent="0.25">
      <c r="A32" s="9" t="s">
        <v>104</v>
      </c>
      <c r="B32" s="9" t="s">
        <v>107</v>
      </c>
      <c r="C32" s="1" t="s">
        <v>33</v>
      </c>
      <c r="D32" s="1" t="s">
        <v>28</v>
      </c>
      <c r="E32" s="3">
        <f>COUNTIF(Tabelle8.Runde68910[[#This Row],[1.Rd]:[8.Rd]],"&gt;399,9")</f>
        <v>1</v>
      </c>
      <c r="F32" s="1">
        <v>1</v>
      </c>
      <c r="G32" s="1">
        <f>COUNT(Tabelle8.Runde68910[[#This Row],[1.Rd]:[8.Rd]])</f>
        <v>8</v>
      </c>
      <c r="H32" s="2">
        <v>393.9</v>
      </c>
      <c r="I32" s="1"/>
      <c r="J32" s="6">
        <v>400.8</v>
      </c>
      <c r="K32" s="2">
        <v>393.6</v>
      </c>
      <c r="L32" s="2">
        <v>396.5</v>
      </c>
      <c r="M32" s="2">
        <v>395.6</v>
      </c>
      <c r="N32" s="2">
        <v>381.5</v>
      </c>
      <c r="O32" s="2">
        <v>399.7</v>
      </c>
      <c r="P32" s="2">
        <v>392.3</v>
      </c>
      <c r="Q32" s="2">
        <v>391.5</v>
      </c>
      <c r="R32" s="2">
        <f>AVERAGE(Tabelle8.Runde68910[[#This Row],[1.Rd]:[8.Rd]])</f>
        <v>393.9375</v>
      </c>
      <c r="S32" s="4"/>
    </row>
    <row r="33" spans="1:19" x14ac:dyDescent="0.25">
      <c r="A33" s="9" t="s">
        <v>105</v>
      </c>
      <c r="B33" s="9" t="s">
        <v>111</v>
      </c>
      <c r="C33" s="1" t="s">
        <v>62</v>
      </c>
      <c r="D33" s="1" t="s">
        <v>21</v>
      </c>
      <c r="E33" s="3">
        <f>COUNTIF(Tabelle8.Runde68910[[#This Row],[1.Rd]:[8.Rd]],"&gt;399,9")</f>
        <v>0</v>
      </c>
      <c r="F33" s="1">
        <v>1</v>
      </c>
      <c r="G33" s="1">
        <f>COUNT(Tabelle8.Runde68910[[#This Row],[1.Rd]:[8.Rd]])</f>
        <v>6</v>
      </c>
      <c r="H33" s="2">
        <v>373.3</v>
      </c>
      <c r="I33" s="1"/>
      <c r="J33" s="2"/>
      <c r="K33" s="2">
        <v>381.8</v>
      </c>
      <c r="L33" s="2">
        <v>366.8</v>
      </c>
      <c r="M33" s="2"/>
      <c r="N33" s="2">
        <v>363.2</v>
      </c>
      <c r="O33" s="2">
        <v>371.1</v>
      </c>
      <c r="P33" s="2">
        <v>371</v>
      </c>
      <c r="Q33" s="2">
        <v>385.8</v>
      </c>
      <c r="R33" s="2">
        <f>AVERAGE(Tabelle8.Runde68910[[#This Row],[1.Rd]:[8.Rd]])</f>
        <v>373.28333333333336</v>
      </c>
      <c r="S33" s="4"/>
    </row>
    <row r="34" spans="1:19" x14ac:dyDescent="0.25">
      <c r="A34" s="9" t="s">
        <v>106</v>
      </c>
      <c r="B34" s="9" t="s">
        <v>104</v>
      </c>
      <c r="C34" s="1" t="s">
        <v>32</v>
      </c>
      <c r="D34" s="1" t="s">
        <v>24</v>
      </c>
      <c r="E34" s="3">
        <f>COUNTIF(Tabelle8.Runde68910[[#This Row],[1.Rd]:[8.Rd]],"&gt;399,9")</f>
        <v>0</v>
      </c>
      <c r="F34" s="1">
        <v>1</v>
      </c>
      <c r="G34" s="1">
        <f>COUNT(Tabelle8.Runde68910[[#This Row],[1.Rd]:[8.Rd]])</f>
        <v>1</v>
      </c>
      <c r="H34" s="6">
        <v>398.8</v>
      </c>
      <c r="I34" s="1"/>
      <c r="J34" s="6">
        <v>398.8</v>
      </c>
      <c r="K34" s="2"/>
      <c r="L34" s="2"/>
      <c r="M34" s="2"/>
      <c r="N34" s="2"/>
      <c r="O34" s="2"/>
      <c r="P34" s="2"/>
      <c r="Q34" s="2"/>
      <c r="R34" s="2">
        <f>AVERAGE(Tabelle8.Runde68910[[#This Row],[1.Rd]:[8.Rd]])</f>
        <v>398.8</v>
      </c>
      <c r="S34" s="4"/>
    </row>
    <row r="35" spans="1:19" x14ac:dyDescent="0.25">
      <c r="A35" s="9" t="s">
        <v>107</v>
      </c>
      <c r="B35" s="9" t="s">
        <v>105</v>
      </c>
      <c r="C35" s="1" t="s">
        <v>124</v>
      </c>
      <c r="D35" s="1" t="s">
        <v>24</v>
      </c>
      <c r="E35" s="3">
        <f>COUNTIF(Tabelle8.Runde68910[[#This Row],[1.Rd]:[8.Rd]],"&gt;399,9")</f>
        <v>0</v>
      </c>
      <c r="F35" s="1">
        <v>1</v>
      </c>
      <c r="G35" s="1">
        <f>COUNT(Tabelle8.Runde68910[[#This Row],[1.Rd]:[8.Rd]])</f>
        <v>1</v>
      </c>
      <c r="H35" s="2">
        <v>383.9</v>
      </c>
      <c r="I35" s="1"/>
      <c r="J35" s="2"/>
      <c r="K35" s="2"/>
      <c r="L35" s="2"/>
      <c r="M35" s="2">
        <v>383.9</v>
      </c>
      <c r="N35" s="2"/>
      <c r="O35" s="2"/>
      <c r="P35" s="2"/>
      <c r="Q35" s="2"/>
      <c r="R35" s="2">
        <f>AVERAGE(Tabelle8.Runde68910[[#This Row],[1.Rd]:[8.Rd]])</f>
        <v>383.9</v>
      </c>
      <c r="S35" s="4"/>
    </row>
    <row r="36" spans="1:19" x14ac:dyDescent="0.25">
      <c r="A36" s="9" t="s">
        <v>108</v>
      </c>
      <c r="B36" s="9" t="s">
        <v>106</v>
      </c>
      <c r="C36" s="1" t="s">
        <v>140</v>
      </c>
      <c r="D36" s="1" t="s">
        <v>29</v>
      </c>
      <c r="E36" s="3">
        <f>COUNTIF(Tabelle8.Runde68910[[#This Row],[1.Rd]:[8.Rd]],"&gt;399,9")</f>
        <v>0</v>
      </c>
      <c r="F36" s="1">
        <v>1</v>
      </c>
      <c r="G36" s="1">
        <f>COUNT(Tabelle8.Runde68910[[#This Row],[1.Rd]:[8.Rd]])</f>
        <v>1</v>
      </c>
      <c r="H36" s="6">
        <v>360.5</v>
      </c>
      <c r="I36" s="1"/>
      <c r="J36" s="6"/>
      <c r="K36" s="2"/>
      <c r="L36" s="2"/>
      <c r="M36" s="2"/>
      <c r="N36" s="2"/>
      <c r="O36" s="2"/>
      <c r="P36" s="2">
        <v>360.5</v>
      </c>
      <c r="Q36" s="2"/>
      <c r="R36" s="2">
        <f>AVERAGE(Tabelle8.Runde68910[[#This Row],[1.Rd]:[8.Rd]])</f>
        <v>360.5</v>
      </c>
      <c r="S36" s="4"/>
    </row>
    <row r="37" spans="1:19" x14ac:dyDescent="0.25">
      <c r="A37" s="9" t="s">
        <v>109</v>
      </c>
      <c r="B37" s="9" t="s">
        <v>109</v>
      </c>
      <c r="C37" s="1" t="s">
        <v>61</v>
      </c>
      <c r="D37" s="1" t="s">
        <v>25</v>
      </c>
      <c r="E37" s="3">
        <f>COUNTIF(Tabelle8.Runde68910[[#This Row],[1.Rd]:[8.Rd]],"&gt;399,9")</f>
        <v>0</v>
      </c>
      <c r="F37" s="1">
        <v>0</v>
      </c>
      <c r="G37" s="1">
        <f>COUNT(Tabelle8.Runde68910[[#This Row],[1.Rd]:[8.Rd]])</f>
        <v>7</v>
      </c>
      <c r="H37" s="2">
        <v>381.2</v>
      </c>
      <c r="I37" s="1"/>
      <c r="J37" s="2"/>
      <c r="K37" s="2">
        <v>377.1</v>
      </c>
      <c r="L37" s="2">
        <v>373.8</v>
      </c>
      <c r="M37" s="2">
        <v>382</v>
      </c>
      <c r="N37" s="2">
        <v>380.1</v>
      </c>
      <c r="O37" s="2">
        <v>385.8</v>
      </c>
      <c r="P37" s="2">
        <v>386.8</v>
      </c>
      <c r="Q37" s="2">
        <v>383.1</v>
      </c>
      <c r="R37" s="2">
        <f>AVERAGE(Tabelle8.Runde68910[[#This Row],[1.Rd]:[8.Rd]])</f>
        <v>381.24285714285713</v>
      </c>
      <c r="S37" s="4"/>
    </row>
    <row r="38" spans="1:19" x14ac:dyDescent="0.25">
      <c r="A38" s="9" t="s">
        <v>110</v>
      </c>
      <c r="B38" s="9" t="s">
        <v>110</v>
      </c>
      <c r="C38" s="1" t="s">
        <v>45</v>
      </c>
      <c r="D38" s="1" t="s">
        <v>22</v>
      </c>
      <c r="E38" s="3">
        <f>COUNTIF(Tabelle8.Runde68910[[#This Row],[1.Rd]:[8.Rd]],"&gt;399,9")</f>
        <v>0</v>
      </c>
      <c r="F38" s="1">
        <v>0</v>
      </c>
      <c r="G38" s="1">
        <f>COUNT(Tabelle8.Runde68910[[#This Row],[1.Rd]:[8.Rd]])</f>
        <v>6</v>
      </c>
      <c r="H38" s="6">
        <v>396.6</v>
      </c>
      <c r="I38" s="1"/>
      <c r="J38" s="6">
        <v>385.8</v>
      </c>
      <c r="K38" s="2"/>
      <c r="L38" s="2"/>
      <c r="M38" s="2">
        <v>386.3</v>
      </c>
      <c r="N38" s="2">
        <v>391.1</v>
      </c>
      <c r="O38" s="2">
        <v>384.4</v>
      </c>
      <c r="P38" s="2">
        <v>387</v>
      </c>
      <c r="Q38" s="2">
        <v>385.1</v>
      </c>
      <c r="R38" s="2">
        <f>AVERAGE(Tabelle8.Runde68910[[#This Row],[1.Rd]:[8.Rd]])</f>
        <v>386.61666666666662</v>
      </c>
      <c r="S38" s="4"/>
    </row>
    <row r="39" spans="1:19" x14ac:dyDescent="0.25">
      <c r="A39" s="9" t="s">
        <v>111</v>
      </c>
      <c r="B39" s="9" t="s">
        <v>108</v>
      </c>
      <c r="C39" s="1" t="s">
        <v>58</v>
      </c>
      <c r="D39" s="1" t="s">
        <v>21</v>
      </c>
      <c r="E39" s="3">
        <f>COUNTIF(Tabelle8.Runde68910[[#This Row],[1.Rd]:[8.Rd]],"&gt;399,9")</f>
        <v>0</v>
      </c>
      <c r="F39" s="1">
        <v>0</v>
      </c>
      <c r="G39" s="1">
        <f>COUNT(Tabelle8.Runde68910[[#This Row],[1.Rd]:[8.Rd]])</f>
        <v>6</v>
      </c>
      <c r="H39" s="2">
        <v>384.3</v>
      </c>
      <c r="I39" s="1"/>
      <c r="J39" s="6">
        <v>381.5</v>
      </c>
      <c r="K39" s="2">
        <v>390.3</v>
      </c>
      <c r="L39" s="2">
        <v>377.2</v>
      </c>
      <c r="M39" s="2">
        <v>383.1</v>
      </c>
      <c r="N39" s="2">
        <v>387.5</v>
      </c>
      <c r="O39" s="2">
        <v>386.4</v>
      </c>
      <c r="P39" s="2"/>
      <c r="Q39" s="2"/>
      <c r="R39" s="2">
        <f>AVERAGE(Tabelle8.Runde68910[[#This Row],[1.Rd]:[8.Rd]])</f>
        <v>384.33333333333331</v>
      </c>
      <c r="S39" s="4"/>
    </row>
    <row r="40" spans="1:19" x14ac:dyDescent="0.25">
      <c r="A40" s="9" t="s">
        <v>112</v>
      </c>
      <c r="B40" s="9" t="s">
        <v>112</v>
      </c>
      <c r="C40" s="1" t="s">
        <v>46</v>
      </c>
      <c r="D40" s="1" t="s">
        <v>22</v>
      </c>
      <c r="E40" s="3">
        <f>COUNTIF(Tabelle8.Runde68910[[#This Row],[1.Rd]:[8.Rd]],"&gt;399,9")</f>
        <v>0</v>
      </c>
      <c r="F40" s="1">
        <v>0</v>
      </c>
      <c r="G40" s="1">
        <f>COUNT(Tabelle8.Runde68910[[#This Row],[1.Rd]:[8.Rd]])</f>
        <v>4</v>
      </c>
      <c r="H40" s="2">
        <v>388.3</v>
      </c>
      <c r="I40" s="1"/>
      <c r="J40" s="6">
        <v>394.2</v>
      </c>
      <c r="K40" s="2">
        <v>389.4</v>
      </c>
      <c r="L40" s="2">
        <v>388.5</v>
      </c>
      <c r="M40" s="2">
        <v>381</v>
      </c>
      <c r="N40" s="2"/>
      <c r="O40" s="2"/>
      <c r="P40" s="2"/>
      <c r="Q40" s="2"/>
      <c r="R40" s="2">
        <f>AVERAGE(Tabelle8.Runde68910[[#This Row],[1.Rd]:[8.Rd]])</f>
        <v>388.27499999999998</v>
      </c>
      <c r="S40" s="4"/>
    </row>
    <row r="41" spans="1:19" x14ac:dyDescent="0.25">
      <c r="A41" s="9" t="s">
        <v>118</v>
      </c>
      <c r="B41" s="9" t="s">
        <v>118</v>
      </c>
      <c r="C41" s="1" t="s">
        <v>69</v>
      </c>
      <c r="D41" s="1" t="s">
        <v>20</v>
      </c>
      <c r="E41" s="3">
        <f>COUNTIF(Tabelle8.Runde68910[[#This Row],[1.Rd]:[8.Rd]],"&gt;399,9")</f>
        <v>0</v>
      </c>
      <c r="F41" s="1">
        <v>0</v>
      </c>
      <c r="G41" s="1">
        <f>COUNT(Tabelle8.Runde68910[[#This Row],[1.Rd]:[8.Rd]])</f>
        <v>4</v>
      </c>
      <c r="H41" s="2">
        <v>379.5</v>
      </c>
      <c r="I41" s="1"/>
      <c r="J41" s="2"/>
      <c r="K41" s="2"/>
      <c r="L41" s="2">
        <v>375.1</v>
      </c>
      <c r="M41" s="2"/>
      <c r="N41" s="2">
        <v>379.1</v>
      </c>
      <c r="O41" s="2">
        <v>379.6</v>
      </c>
      <c r="P41" s="2">
        <v>384.3</v>
      </c>
      <c r="Q41" s="2"/>
      <c r="R41" s="2">
        <f>AVERAGE(Tabelle8.Runde68910[[#This Row],[1.Rd]:[8.Rd]])</f>
        <v>379.52500000000003</v>
      </c>
      <c r="S41" s="4"/>
    </row>
    <row r="42" spans="1:19" x14ac:dyDescent="0.25">
      <c r="A42" s="9" t="s">
        <v>119</v>
      </c>
      <c r="B42" s="9" t="s">
        <v>121</v>
      </c>
      <c r="C42" s="1" t="s">
        <v>123</v>
      </c>
      <c r="D42" s="1" t="s">
        <v>21</v>
      </c>
      <c r="E42" s="3">
        <f>COUNTIF(Tabelle8.Runde68910[[#This Row],[1.Rd]:[8.Rd]],"&gt;399,9")</f>
        <v>0</v>
      </c>
      <c r="F42" s="1">
        <v>0</v>
      </c>
      <c r="G42" s="1">
        <f>COUNT(Tabelle8.Runde68910[[#This Row],[1.Rd]:[8.Rd]])</f>
        <v>3</v>
      </c>
      <c r="H42" s="2">
        <v>380.7</v>
      </c>
      <c r="I42" s="1"/>
      <c r="J42" s="2"/>
      <c r="K42" s="2"/>
      <c r="L42" s="2"/>
      <c r="M42" s="2">
        <v>384.7</v>
      </c>
      <c r="N42" s="2"/>
      <c r="O42" s="2"/>
      <c r="P42" s="2">
        <v>378.7</v>
      </c>
      <c r="Q42" s="2">
        <v>378.8</v>
      </c>
      <c r="R42" s="2">
        <f>AVERAGE(Tabelle8.Runde68910[[#This Row],[1.Rd]:[8.Rd]])</f>
        <v>380.73333333333335</v>
      </c>
      <c r="S42" s="4"/>
    </row>
    <row r="43" spans="1:19" x14ac:dyDescent="0.25">
      <c r="A43" s="9" t="s">
        <v>120</v>
      </c>
      <c r="B43" s="9" t="s">
        <v>119</v>
      </c>
      <c r="C43" s="1" t="s">
        <v>59</v>
      </c>
      <c r="D43" s="1" t="s">
        <v>21</v>
      </c>
      <c r="E43" s="3">
        <f>COUNTIF(Tabelle8.Runde68910[[#This Row],[1.Rd]:[8.Rd]],"&gt;399,9")</f>
        <v>0</v>
      </c>
      <c r="F43" s="1">
        <v>0</v>
      </c>
      <c r="G43" s="1">
        <f>COUNT(Tabelle8.Runde68910[[#This Row],[1.Rd]:[8.Rd]])</f>
        <v>3</v>
      </c>
      <c r="H43" s="2">
        <v>375.4</v>
      </c>
      <c r="I43" s="1"/>
      <c r="J43" s="6">
        <v>384.3</v>
      </c>
      <c r="K43" s="2">
        <v>370.8</v>
      </c>
      <c r="L43" s="2">
        <v>371.1</v>
      </c>
      <c r="M43" s="2"/>
      <c r="N43" s="2"/>
      <c r="O43" s="2"/>
      <c r="P43" s="2"/>
      <c r="Q43" s="2"/>
      <c r="R43" s="2">
        <f>AVERAGE(Tabelle8.Runde68910[[#This Row],[1.Rd]:[8.Rd]])</f>
        <v>375.40000000000003</v>
      </c>
    </row>
    <row r="44" spans="1:19" x14ac:dyDescent="0.25">
      <c r="A44" s="9" t="s">
        <v>121</v>
      </c>
      <c r="B44" s="9" t="s">
        <v>120</v>
      </c>
      <c r="C44" s="1" t="s">
        <v>136</v>
      </c>
      <c r="D44" s="1" t="s">
        <v>25</v>
      </c>
      <c r="E44" s="3">
        <f>COUNTIF(Tabelle8.Runde68910[[#This Row],[1.Rd]:[8.Rd]],"&gt;399,9")</f>
        <v>0</v>
      </c>
      <c r="F44" s="1">
        <v>0</v>
      </c>
      <c r="G44" s="1">
        <f>COUNT(Tabelle8.Runde68910[[#This Row],[1.Rd]:[8.Rd]])</f>
        <v>2</v>
      </c>
      <c r="H44" s="2">
        <v>383.2</v>
      </c>
      <c r="I44" s="1"/>
      <c r="J44" s="2"/>
      <c r="K44" s="2"/>
      <c r="L44" s="2"/>
      <c r="M44" s="2"/>
      <c r="N44" s="2"/>
      <c r="O44" s="2">
        <v>378.8</v>
      </c>
      <c r="P44" s="2">
        <v>387.6</v>
      </c>
      <c r="Q44" s="2"/>
      <c r="R44" s="2">
        <f>AVERAGE(Tabelle8.Runde68910[[#This Row],[1.Rd]:[8.Rd]])</f>
        <v>383.20000000000005</v>
      </c>
    </row>
    <row r="45" spans="1:19" x14ac:dyDescent="0.25">
      <c r="A45" s="9" t="s">
        <v>128</v>
      </c>
      <c r="B45" s="9" t="s">
        <v>128</v>
      </c>
      <c r="C45" s="1" t="s">
        <v>132</v>
      </c>
      <c r="D45" s="1" t="s">
        <v>23</v>
      </c>
      <c r="E45" s="3">
        <f>COUNTIF(Tabelle8.Runde68910[[#This Row],[1.Rd]:[8.Rd]],"&gt;399,9")</f>
        <v>0</v>
      </c>
      <c r="F45" s="1">
        <v>0</v>
      </c>
      <c r="G45" s="1">
        <f>COUNT(Tabelle8.Runde68910[[#This Row],[1.Rd]:[8.Rd]])</f>
        <v>2</v>
      </c>
      <c r="H45" s="2">
        <v>369.6</v>
      </c>
      <c r="I45" s="1"/>
      <c r="J45" s="6"/>
      <c r="K45" s="2"/>
      <c r="L45" s="2"/>
      <c r="M45" s="2"/>
      <c r="N45" s="2">
        <v>371.7</v>
      </c>
      <c r="O45" s="2">
        <v>367.5</v>
      </c>
      <c r="P45" s="2"/>
      <c r="Q45" s="2"/>
      <c r="R45" s="2">
        <f>AVERAGE(Tabelle8.Runde68910[[#This Row],[1.Rd]:[8.Rd]])</f>
        <v>369.6</v>
      </c>
    </row>
    <row r="46" spans="1:19" x14ac:dyDescent="0.25">
      <c r="A46" s="9" t="s">
        <v>129</v>
      </c>
      <c r="B46" s="9" t="s">
        <v>144</v>
      </c>
      <c r="C46" s="1" t="s">
        <v>141</v>
      </c>
      <c r="D46" s="1" t="s">
        <v>24</v>
      </c>
      <c r="E46" s="3">
        <f>COUNTIF(Tabelle8.Runde68910[[#This Row],[1.Rd]:[8.Rd]],"&gt;399,9")</f>
        <v>0</v>
      </c>
      <c r="F46" s="1">
        <v>0</v>
      </c>
      <c r="G46" s="1">
        <f>COUNT(Tabelle8.Runde68910[[#This Row],[1.Rd]:[8.Rd]])</f>
        <v>2</v>
      </c>
      <c r="H46" s="6">
        <v>357.6</v>
      </c>
      <c r="I46" s="1"/>
      <c r="J46" s="6"/>
      <c r="K46" s="2"/>
      <c r="L46" s="2"/>
      <c r="M46" s="2"/>
      <c r="N46" s="2"/>
      <c r="O46" s="2"/>
      <c r="P46" s="2">
        <v>351.8</v>
      </c>
      <c r="Q46" s="2">
        <v>363.3</v>
      </c>
      <c r="R46" s="2">
        <f>AVERAGE(Tabelle8.Runde68910[[#This Row],[1.Rd]:[8.Rd]])</f>
        <v>357.55</v>
      </c>
    </row>
    <row r="47" spans="1:19" x14ac:dyDescent="0.25">
      <c r="A47" s="9" t="s">
        <v>130</v>
      </c>
      <c r="B47" s="9" t="s">
        <v>129</v>
      </c>
      <c r="C47" s="1" t="s">
        <v>127</v>
      </c>
      <c r="D47" s="1" t="s">
        <v>26</v>
      </c>
      <c r="E47" s="3">
        <f>COUNTIF(Tabelle8.Runde68910[[#This Row],[1.Rd]:[8.Rd]],"&gt;399,9")</f>
        <v>0</v>
      </c>
      <c r="F47" s="1">
        <v>0</v>
      </c>
      <c r="G47" s="1">
        <f>COUNT(Tabelle8.Runde68910[[#This Row],[1.Rd]:[8.Rd]])</f>
        <v>1</v>
      </c>
      <c r="H47" s="2">
        <v>393.8</v>
      </c>
      <c r="I47" s="1"/>
      <c r="J47" s="6"/>
      <c r="K47" s="2"/>
      <c r="L47" s="2"/>
      <c r="M47" s="2">
        <v>393.8</v>
      </c>
      <c r="N47" s="2"/>
      <c r="O47" s="2"/>
      <c r="P47" s="2"/>
      <c r="Q47" s="2"/>
      <c r="R47" s="2">
        <f>AVERAGE(Tabelle8.Runde68910[[#This Row],[1.Rd]:[8.Rd]])</f>
        <v>393.8</v>
      </c>
    </row>
    <row r="48" spans="1:19" x14ac:dyDescent="0.25">
      <c r="A48" s="9" t="s">
        <v>131</v>
      </c>
      <c r="B48" s="9" t="s">
        <v>130</v>
      </c>
      <c r="C48" s="1" t="s">
        <v>49</v>
      </c>
      <c r="D48" s="1" t="s">
        <v>29</v>
      </c>
      <c r="E48" s="3">
        <f>COUNTIF(Tabelle8.Runde68910[[#This Row],[1.Rd]:[8.Rd]],"&gt;399,9")</f>
        <v>0</v>
      </c>
      <c r="F48" s="1">
        <v>0</v>
      </c>
      <c r="G48" s="1">
        <f>COUNT(Tabelle8.Runde68910[[#This Row],[1.Rd]:[8.Rd]])</f>
        <v>1</v>
      </c>
      <c r="H48" s="6">
        <v>391.3</v>
      </c>
      <c r="I48" s="1"/>
      <c r="J48" s="6">
        <v>391.3</v>
      </c>
      <c r="K48" s="2"/>
      <c r="L48" s="2"/>
      <c r="M48" s="2"/>
      <c r="N48" s="2"/>
      <c r="O48" s="2"/>
      <c r="P48" s="2"/>
      <c r="Q48" s="2"/>
      <c r="R48" s="2">
        <f>AVERAGE(Tabelle8.Runde68910[[#This Row],[1.Rd]:[8.Rd]])</f>
        <v>391.3</v>
      </c>
    </row>
    <row r="49" spans="1:18" x14ac:dyDescent="0.25">
      <c r="A49" s="9" t="s">
        <v>134</v>
      </c>
      <c r="B49" s="9" t="s">
        <v>126</v>
      </c>
      <c r="C49" s="1" t="s">
        <v>148</v>
      </c>
      <c r="D49" s="1" t="s">
        <v>26</v>
      </c>
      <c r="E49" s="3">
        <f>COUNTIF(Tabelle8.Runde68910[[#This Row],[1.Rd]:[8.Rd]],"&gt;399,9")</f>
        <v>0</v>
      </c>
      <c r="F49" s="1">
        <v>0</v>
      </c>
      <c r="G49" s="1">
        <f>COUNT(Tabelle8.Runde68910[[#This Row],[1.Rd]:[8.Rd]])</f>
        <v>1</v>
      </c>
      <c r="H49" s="2">
        <v>385.2</v>
      </c>
      <c r="I49" s="1"/>
      <c r="J49" s="2"/>
      <c r="K49" s="2"/>
      <c r="L49" s="2"/>
      <c r="M49" s="2"/>
      <c r="N49" s="2"/>
      <c r="O49" s="2"/>
      <c r="P49" s="2"/>
      <c r="Q49" s="2">
        <v>385.2</v>
      </c>
      <c r="R49" s="2">
        <f>AVERAGE(Tabelle8.Runde68910[[#This Row],[1.Rd]:[8.Rd]])</f>
        <v>385.2</v>
      </c>
    </row>
    <row r="50" spans="1:18" x14ac:dyDescent="0.25">
      <c r="A50" s="9" t="s">
        <v>137</v>
      </c>
      <c r="B50" s="9" t="s">
        <v>126</v>
      </c>
      <c r="C50" s="1" t="s">
        <v>146</v>
      </c>
      <c r="D50" s="1" t="s">
        <v>29</v>
      </c>
      <c r="E50" s="3">
        <f>COUNTIF(Tabelle8.Runde68910[[#This Row],[1.Rd]:[8.Rd]],"&gt;399,9")</f>
        <v>0</v>
      </c>
      <c r="F50" s="1">
        <v>0</v>
      </c>
      <c r="G50" s="1">
        <f>COUNT(Tabelle8.Runde68910[[#This Row],[1.Rd]:[8.Rd]])</f>
        <v>1</v>
      </c>
      <c r="H50" s="6">
        <v>383.3</v>
      </c>
      <c r="I50" s="1"/>
      <c r="J50" s="6"/>
      <c r="K50" s="2"/>
      <c r="L50" s="2"/>
      <c r="M50" s="2"/>
      <c r="N50" s="2"/>
      <c r="O50" s="2"/>
      <c r="P50" s="2"/>
      <c r="Q50" s="2">
        <v>383.3</v>
      </c>
      <c r="R50" s="2">
        <f>AVERAGE(Tabelle8.Runde68910[[#This Row],[1.Rd]:[8.Rd]])</f>
        <v>383.3</v>
      </c>
    </row>
    <row r="51" spans="1:18" x14ac:dyDescent="0.25">
      <c r="A51" s="9" t="s">
        <v>142</v>
      </c>
      <c r="B51" s="9" t="s">
        <v>131</v>
      </c>
      <c r="C51" s="1" t="s">
        <v>125</v>
      </c>
      <c r="D51" s="1" t="s">
        <v>25</v>
      </c>
      <c r="E51" s="3">
        <f>COUNTIF(Tabelle8.Runde68910[[#This Row],[1.Rd]:[8.Rd]],"&gt;399,9")</f>
        <v>0</v>
      </c>
      <c r="F51" s="1">
        <v>0</v>
      </c>
      <c r="G51" s="1">
        <f>COUNT(Tabelle8.Runde68910[[#This Row],[1.Rd]:[8.Rd]])</f>
        <v>1</v>
      </c>
      <c r="H51" s="2">
        <v>380.7</v>
      </c>
      <c r="I51" s="1"/>
      <c r="J51" s="2"/>
      <c r="K51" s="2"/>
      <c r="L51" s="2"/>
      <c r="M51" s="2">
        <v>380.7</v>
      </c>
      <c r="N51" s="2"/>
      <c r="O51" s="2"/>
      <c r="P51" s="2"/>
      <c r="Q51" s="2"/>
      <c r="R51" s="2">
        <f>AVERAGE(Tabelle8.Runde68910[[#This Row],[1.Rd]:[8.Rd]])</f>
        <v>380.7</v>
      </c>
    </row>
    <row r="52" spans="1:18" x14ac:dyDescent="0.25">
      <c r="A52" s="9" t="s">
        <v>143</v>
      </c>
      <c r="B52" s="9" t="s">
        <v>134</v>
      </c>
      <c r="C52" s="1" t="s">
        <v>138</v>
      </c>
      <c r="D52" s="1" t="s">
        <v>26</v>
      </c>
      <c r="E52" s="3">
        <f>COUNTIF(Tabelle8.Runde68910[[#This Row],[1.Rd]:[8.Rd]],"&gt;399,9")</f>
        <v>0</v>
      </c>
      <c r="F52" s="1">
        <v>0</v>
      </c>
      <c r="G52" s="1">
        <f>COUNT(Tabelle8.Runde68910[[#This Row],[1.Rd]:[8.Rd]])</f>
        <v>1</v>
      </c>
      <c r="H52" s="6">
        <v>378.6</v>
      </c>
      <c r="I52" s="1"/>
      <c r="J52" s="6"/>
      <c r="K52" s="2"/>
      <c r="L52" s="2"/>
      <c r="M52" s="2"/>
      <c r="N52" s="2"/>
      <c r="O52" s="2"/>
      <c r="P52" s="2">
        <v>378.6</v>
      </c>
      <c r="Q52" s="2"/>
      <c r="R52" s="2">
        <f>AVERAGE(Tabelle8.Runde68910[[#This Row],[1.Rd]:[8.Rd]])</f>
        <v>378.6</v>
      </c>
    </row>
    <row r="53" spans="1:18" x14ac:dyDescent="0.25">
      <c r="A53" s="9" t="s">
        <v>144</v>
      </c>
      <c r="B53" s="9" t="s">
        <v>126</v>
      </c>
      <c r="C53" s="1" t="s">
        <v>147</v>
      </c>
      <c r="D53" s="1" t="s">
        <v>25</v>
      </c>
      <c r="E53" s="3">
        <f>COUNTIF(Tabelle8.Runde68910[[#This Row],[1.Rd]:[8.Rd]],"&gt;399,9")</f>
        <v>0</v>
      </c>
      <c r="F53" s="1">
        <v>0</v>
      </c>
      <c r="G53" s="1">
        <f>COUNT(Tabelle8.Runde68910[[#This Row],[1.Rd]:[8.Rd]])</f>
        <v>1</v>
      </c>
      <c r="H53" s="6">
        <v>373.3</v>
      </c>
      <c r="I53" s="1"/>
      <c r="J53" s="6"/>
      <c r="K53" s="2"/>
      <c r="L53" s="2"/>
      <c r="M53" s="2"/>
      <c r="N53" s="2"/>
      <c r="O53" s="2"/>
      <c r="P53" s="2"/>
      <c r="Q53" s="2">
        <v>373.3</v>
      </c>
      <c r="R53" s="2">
        <f>AVERAGE(Tabelle8.Runde68910[[#This Row],[1.Rd]:[8.Rd]])</f>
        <v>373.3</v>
      </c>
    </row>
    <row r="54" spans="1:18" x14ac:dyDescent="0.25">
      <c r="A54" s="9" t="s">
        <v>149</v>
      </c>
      <c r="B54" s="9" t="s">
        <v>137</v>
      </c>
      <c r="C54" s="1" t="s">
        <v>53</v>
      </c>
      <c r="D54" s="1" t="s">
        <v>25</v>
      </c>
      <c r="E54" s="3">
        <f>COUNTIF(Tabelle8.Runde68910[[#This Row],[1.Rd]:[8.Rd]],"&gt;399,9")</f>
        <v>0</v>
      </c>
      <c r="F54" s="1">
        <v>0</v>
      </c>
      <c r="G54" s="1">
        <f>COUNT(Tabelle8.Runde68910[[#This Row],[1.Rd]:[8.Rd]])</f>
        <v>1</v>
      </c>
      <c r="H54" s="6">
        <v>372.9</v>
      </c>
      <c r="I54" s="1"/>
      <c r="J54" s="6">
        <v>372.9</v>
      </c>
      <c r="K54" s="2"/>
      <c r="L54" s="2"/>
      <c r="M54" s="2"/>
      <c r="N54" s="2"/>
      <c r="O54" s="2"/>
      <c r="P54" s="2"/>
      <c r="Q54" s="2"/>
      <c r="R54" s="2">
        <f>AVERAGE(Tabelle8.Runde68910[[#This Row],[1.Rd]:[8.Rd]])</f>
        <v>372.9</v>
      </c>
    </row>
    <row r="55" spans="1:18" x14ac:dyDescent="0.25">
      <c r="A55" s="9" t="s">
        <v>150</v>
      </c>
      <c r="B55" s="9" t="s">
        <v>142</v>
      </c>
      <c r="C55" s="1" t="s">
        <v>50</v>
      </c>
      <c r="D55" s="1" t="s">
        <v>29</v>
      </c>
      <c r="E55" s="3">
        <f>COUNTIF(Tabelle8.Runde68910[[#This Row],[1.Rd]:[8.Rd]],"&gt;399,9")</f>
        <v>0</v>
      </c>
      <c r="F55" s="1">
        <v>0</v>
      </c>
      <c r="G55" s="1">
        <f>COUNT(Tabelle8.Runde68910[[#This Row],[1.Rd]:[8.Rd]])</f>
        <v>1</v>
      </c>
      <c r="H55" s="6">
        <v>372.6</v>
      </c>
      <c r="I55" s="1"/>
      <c r="J55" s="6">
        <v>372.6</v>
      </c>
      <c r="K55" s="2"/>
      <c r="L55" s="2"/>
      <c r="M55" s="2"/>
      <c r="N55" s="2"/>
      <c r="O55" s="2"/>
      <c r="P55" s="2"/>
      <c r="Q55" s="2"/>
      <c r="R55" s="2">
        <f>AVERAGE(Tabelle8.Runde68910[[#This Row],[1.Rd]:[8.Rd]])</f>
        <v>372.6</v>
      </c>
    </row>
    <row r="56" spans="1:18" x14ac:dyDescent="0.25">
      <c r="A56" s="9" t="s">
        <v>151</v>
      </c>
      <c r="B56" s="9" t="s">
        <v>143</v>
      </c>
      <c r="C56" s="1" t="s">
        <v>41</v>
      </c>
      <c r="D56" s="1" t="s">
        <v>23</v>
      </c>
      <c r="E56" s="3">
        <f>COUNTIF(Tabelle8.Runde68910[[#This Row],[1.Rd]:[8.Rd]],"&gt;399,9")</f>
        <v>0</v>
      </c>
      <c r="F56" s="1">
        <v>0</v>
      </c>
      <c r="G56" s="1">
        <f>COUNT(Tabelle8.Runde68910[[#This Row],[1.Rd]:[8.Rd]])</f>
        <v>1</v>
      </c>
      <c r="H56" s="6">
        <v>362.8</v>
      </c>
      <c r="I56" s="1"/>
      <c r="J56" s="6">
        <v>362.8</v>
      </c>
      <c r="K56" s="2"/>
      <c r="L56" s="2"/>
      <c r="M56" s="2"/>
      <c r="N56" s="2"/>
      <c r="O56" s="2"/>
      <c r="P56" s="2"/>
      <c r="Q56" s="2"/>
      <c r="R56" s="2">
        <f>AVERAGE(Tabelle8.Runde68910[[#This Row],[1.Rd]:[8.Rd]])</f>
        <v>362.8</v>
      </c>
    </row>
    <row r="57" spans="1:18" x14ac:dyDescent="0.25">
      <c r="A57" s="1" t="s">
        <v>70</v>
      </c>
      <c r="B57" s="1"/>
      <c r="C57" s="1"/>
      <c r="D57" s="1"/>
      <c r="E57" s="1">
        <f>SUBTOTAL(109,Tabelle8.Runde68910[400,0])</f>
        <v>49</v>
      </c>
      <c r="F57" s="1"/>
      <c r="G57" s="1"/>
      <c r="H57" s="1"/>
      <c r="I57" s="1"/>
      <c r="J57" s="8">
        <f>SUBTOTAL(103,Tabelle8.Runde68910[1.Rd])</f>
        <v>30</v>
      </c>
      <c r="K57" s="1">
        <f>SUBTOTAL(103,Tabelle8.Runde68910[2.Rd])</f>
        <v>30</v>
      </c>
      <c r="L57" s="1">
        <f>SUBTOTAL(103,Tabelle8.Runde68910[3.Rd])</f>
        <v>30</v>
      </c>
      <c r="M57" s="1">
        <f>SUBTOTAL(103,Tabelle8.Runde68910[4.Rd])</f>
        <v>30</v>
      </c>
      <c r="N57" s="1">
        <f>SUBTOTAL(103,Tabelle8.Runde68910[5.Rd])</f>
        <v>30</v>
      </c>
      <c r="O57" s="1">
        <f>SUBTOTAL(103,Tabelle8.Runde68910[6.Rd])</f>
        <v>30</v>
      </c>
      <c r="P57" s="1">
        <f>SUBTOTAL(103,Tabelle8.Runde68910[7.Rd])</f>
        <v>30</v>
      </c>
      <c r="Q57" s="1">
        <f>SUBTOTAL(103,Tabelle8.Runde68910[7.Rd])</f>
        <v>30</v>
      </c>
      <c r="R57" s="2"/>
    </row>
    <row r="58" spans="1:18" x14ac:dyDescent="0.25">
      <c r="C58" s="1"/>
      <c r="D58" s="1"/>
    </row>
    <row r="59" spans="1:18" x14ac:dyDescent="0.25">
      <c r="C59" s="1"/>
      <c r="D59" s="1"/>
    </row>
    <row r="60" spans="1:18" x14ac:dyDescent="0.25">
      <c r="C60" s="1"/>
      <c r="D60" s="1"/>
    </row>
    <row r="61" spans="1:18" x14ac:dyDescent="0.25">
      <c r="C61" s="1"/>
      <c r="D61" s="1"/>
    </row>
    <row r="62" spans="1:18" x14ac:dyDescent="0.25">
      <c r="C62" s="1"/>
      <c r="D62" s="1"/>
    </row>
    <row r="63" spans="1:18" x14ac:dyDescent="0.25">
      <c r="C63" s="1"/>
      <c r="D63" s="1"/>
    </row>
    <row r="64" spans="1:18" x14ac:dyDescent="0.25">
      <c r="C64" s="1"/>
      <c r="D64" s="1"/>
    </row>
    <row r="65" spans="3:4" x14ac:dyDescent="0.25">
      <c r="C65" s="1"/>
      <c r="D65" s="1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D5:D56" xr:uid="{55AB3B3A-25A4-434F-A337-AB4D773A6632}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Ergebnisliste</vt:lpstr>
      <vt:lpstr>Statistik nach 1.Runde</vt:lpstr>
      <vt:lpstr>Statistik nach 2.Runde</vt:lpstr>
      <vt:lpstr>Statisitk nach 3.Runde</vt:lpstr>
      <vt:lpstr>Statistik nach 4.Runde</vt:lpstr>
      <vt:lpstr>Statistik nach 5.Runde</vt:lpstr>
      <vt:lpstr>Statistik nach 6.Runde</vt:lpstr>
      <vt:lpstr>Statistik nach 7.Runde</vt:lpstr>
      <vt:lpstr>Statistik nach 8.Runde</vt:lpstr>
      <vt:lpstr>Statistik nach 9.Runde</vt:lpstr>
      <vt:lpstr>Vereinsname</vt:lpstr>
      <vt:lpstr>'Statistik nach 2.Runde'!Vereinsnamen</vt:lpstr>
      <vt:lpstr>'Statistik nach 5.Runde'!Vereinsnamen</vt:lpstr>
      <vt:lpstr>'Statistik nach 6.Runde'!Vereinsnamen</vt:lpstr>
      <vt:lpstr>'Statistik nach 7.Runde'!Vereinsnamen</vt:lpstr>
      <vt:lpstr>'Statistik nach 8.Runde'!Vereinsnamen</vt:lpstr>
      <vt:lpstr>'Statistik nach 9.Runde'!Vereinsnamen</vt:lpstr>
      <vt:lpstr>Vereinsnamen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dcterms:created xsi:type="dcterms:W3CDTF">2018-11-19T22:57:00Z</dcterms:created>
  <dcterms:modified xsi:type="dcterms:W3CDTF">2019-04-17T17:00:41Z</dcterms:modified>
</cp:coreProperties>
</file>